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7.xml" ContentType="application/vnd.ms-excel.threaded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https://universidadevigo-my.sharepoint.com/personal/xsimon_uvigo_gal/Documents/EÓLICA/JMH_CARTAFOL COMPARTIDO/Plan de Negocio CEs/Ferramenta Avaliación Económica Datos Reais Ano Único/English/"/>
    </mc:Choice>
  </mc:AlternateContent>
  <xr:revisionPtr revIDLastSave="76" documentId="8_{E4E34967-6BFA-4E18-9733-AFD7B6BF5048}" xr6:coauthVersionLast="47" xr6:coauthVersionMax="47" xr10:uidLastSave="{FABB3CAB-A967-46D3-BF7F-E729C7234E02}"/>
  <workbookProtection workbookAlgorithmName="SHA-512" workbookHashValue="vCePyPPAoynIfRVeXJMmQRu9ez/rl+AO+KbCZ4jcnTUQ7DsisMDq0taT6GQV2sC5aTJ3y8Ugvi0I2aHP47N7DQ==" workbookSaltValue="dr4O96kN3yWgVCqnVApDUg==" workbookSpinCount="100000" lockStructure="1"/>
  <bookViews>
    <workbookView minimized="1" xWindow="0" yWindow="384" windowWidth="23256" windowHeight="12456" firstSheet="43" activeTab="45" xr2:uid="{00000000-000D-0000-FFFF-FFFF00000000}"/>
  </bookViews>
  <sheets>
    <sheet name="General Hipotheses (INTRO)" sheetId="2" state="hidden" r:id="rId1"/>
    <sheet name="Hipóteses Xerais" sheetId="9" state="hidden" r:id="rId2"/>
    <sheet name="Expenses Hipotheses (INTRO)" sheetId="3" state="hidden" r:id="rId3"/>
    <sheet name="Hipóteses Gastos" sheetId="10" state="hidden" r:id="rId4"/>
    <sheet name="General Real Data (Obs.)" sheetId="56" r:id="rId5"/>
    <sheet name="Partners Real Data" sheetId="38" r:id="rId6"/>
    <sheet name="Electric Invoice Actual Costs" sheetId="5" r:id="rId7"/>
    <sheet name="Hip. Custos Factura Eléctrica" sheetId="11" state="hidden" r:id="rId8"/>
    <sheet name="Idiomas" sheetId="6" state="hidden" r:id="rId9"/>
    <sheet name="Cuestións e Respostas" sheetId="8" state="hidden" r:id="rId10"/>
    <sheet name="Maestros" sheetId="7" state="hidden" r:id="rId11"/>
    <sheet name="Hipóteses --&gt;" sheetId="12" state="hidden" r:id="rId12"/>
    <sheet name="Hipóteses xerais (2)" sheetId="13" state="hidden" r:id="rId13"/>
    <sheet name="Hipóteses 2" sheetId="14" state="hidden" r:id="rId14"/>
    <sheet name="Est. Consumo Eléctrico Medio" sheetId="54" state="hidden" r:id="rId15"/>
    <sheet name="x Financiamento" sheetId="15" state="hidden" r:id="rId16"/>
    <sheet name="Estados financeiros --&gt;" sheetId="16" state="hidden" r:id="rId17"/>
    <sheet name="Conta explotación" sheetId="17" state="hidden" r:id="rId18"/>
    <sheet name="Estim. Gastos" sheetId="18" state="hidden" r:id="rId19"/>
    <sheet name="Estim. Ingresos" sheetId="19" state="hidden" r:id="rId20"/>
    <sheet name="Fluxo de caixa" sheetId="20" state="hidden" r:id="rId21"/>
    <sheet name="Fluxo de Caixa Neto Socio" sheetId="21" state="hidden" r:id="rId22"/>
    <sheet name="Datos CE e Socios" sheetId="23" state="hidden" r:id="rId23"/>
    <sheet name="Conta Conxunto de Socios" sheetId="24" state="hidden" r:id="rId24"/>
    <sheet name="Conta Individ. Socio" sheetId="25" state="hidden" r:id="rId25"/>
    <sheet name="Datos Custos Factura Eléctrica" sheetId="26" state="hidden" r:id="rId26"/>
    <sheet name="Simulac. Factura Indiv. Sen CE" sheetId="27" state="hidden" r:id="rId27"/>
    <sheet name="Simulac. Factura Indiv. Con CE" sheetId="28" state="hidden" r:id="rId28"/>
    <sheet name="Comparación Fras. Indiv." sheetId="29" state="hidden" r:id="rId29"/>
    <sheet name="Datos Socios" sheetId="31" state="hidden" r:id="rId30"/>
    <sheet name="Factura Socios Sen CE" sheetId="32" state="hidden" r:id="rId31"/>
    <sheet name="Factura Socios Con CE" sheetId="33" state="hidden" r:id="rId32"/>
    <sheet name="Factura Socios Consumo Mínimo" sheetId="34" state="hidden" r:id="rId33"/>
    <sheet name="Ingresos Socios" sheetId="35" state="hidden" r:id="rId34"/>
    <sheet name="Resultado Socios" sheetId="36" state="hidden" r:id="rId35"/>
    <sheet name="Factura Socios Sen CE (2)" sheetId="39" state="hidden" r:id="rId36"/>
    <sheet name="Factura Socios Con CE (2)" sheetId="40" state="hidden" r:id="rId37"/>
    <sheet name="Ingresos Socios (2)" sheetId="41" state="hidden" r:id="rId38"/>
    <sheet name="Resultado Socios (2)" sheetId="42" state="hidden" r:id="rId39"/>
    <sheet name="Operating Account" sheetId="44" r:id="rId40"/>
    <sheet name="Cash Flow Statement" sheetId="45" r:id="rId41"/>
    <sheet name="Fluxo de Caixa Neto Socio (2)" sheetId="46" state="hidden" r:id="rId42"/>
    <sheet name="All Partners Accounts" sheetId="47" r:id="rId43"/>
    <sheet name="Individual Partner Account" sheetId="48" r:id="rId44"/>
    <sheet name="Indiv. Invoices Comparison" sheetId="49" r:id="rId45"/>
    <sheet name="Partner Acc. Heterogeneous P. " sheetId="50" r:id="rId46"/>
    <sheet name="Idiomas (2)" sheetId="51" state="hidden" r:id="rId47"/>
    <sheet name="Cuestións e Respostas (2)" sheetId="52" state="hidden" r:id="rId48"/>
    <sheet name="Maestros (2)" sheetId="53" state="hidden" r:id="rId49"/>
  </sheets>
  <definedNames>
    <definedName name="_xlnm.Print_Area" localSheetId="40">'Cash Flow Statement'!$B$3:$AB$31</definedName>
    <definedName name="_xlnm.Print_Area" localSheetId="17">'Conta explotación'!$C$2:$AD$57</definedName>
    <definedName name="_xlnm.Print_Area" localSheetId="16">'Estados financeiros --&gt;'!$C$1:$J$15</definedName>
    <definedName name="_xlnm.Print_Area" localSheetId="20">'Fluxo de caixa'!$B$2:$AB$30</definedName>
    <definedName name="_xlnm.Print_Area" localSheetId="0">'General Hipotheses (INTRO)'!$B$4:$F$29</definedName>
    <definedName name="_xlnm.Print_Area" localSheetId="4">'General Real Data (Obs.)'!$C$2:$E$57</definedName>
    <definedName name="_xlnm.Print_Area" localSheetId="11">'Hipóteses --&gt;'!$C$1:$J$16</definedName>
    <definedName name="_xlnm.Print_Area" localSheetId="13">'Hipóteses 2'!$B$2:$H$9</definedName>
    <definedName name="_xlnm.Print_Area" localSheetId="1">'Hipóteses Xerais'!$B$4:$F$29</definedName>
    <definedName name="_xlnm.Print_Area" localSheetId="12">'Hipóteses xerais (2)'!$B$4:$F$35</definedName>
    <definedName name="_xlnm.Print_Area" localSheetId="39">'Operating Account'!$C$2:$AD$57</definedName>
    <definedName name="_xlnm.Print_Area" localSheetId="15">'x Financiamento'!$A$2:$F$26</definedName>
    <definedName name="ListadoIdiomas" localSheetId="47">'Maestros (2)'!$A$2:$A$5</definedName>
    <definedName name="ListadoIdiomas" localSheetId="46">'Maestros (2)'!$A$2:$A$5</definedName>
    <definedName name="ListadoIdiomas" localSheetId="48">'Maestros (2)'!$A$2:$A$5</definedName>
    <definedName name="ListadoIdiomas">Maestros!$A$2:$A$5</definedName>
    <definedName name="ListadoIdiomas1">Maestros!$A$2:$A$5</definedName>
    <definedName name="ListadoIdiomasR">'Maestros (2)'!$A$2:$A$5</definedName>
    <definedName name="RespPreg1" localSheetId="47">tabRespPreg130[Opciones mostradas]</definedName>
    <definedName name="RespPreg1" localSheetId="4">tabRespPreg1[Opciones mostradas]</definedName>
    <definedName name="RespPreg1" localSheetId="7">tabRespPreg1[Opciones mostradas]</definedName>
    <definedName name="RespPreg1" localSheetId="3">tabRespPreg1[Opciones mostradas]</definedName>
    <definedName name="RespPreg1" localSheetId="1">tabRespPreg1[Opciones mostradas]</definedName>
    <definedName name="RespPreg1" localSheetId="46">tabRespPreg130[Opciones mostradas]</definedName>
    <definedName name="RespPreg1" localSheetId="48">tabRespPreg1[Opciones mostradas]</definedName>
    <definedName name="RespPreg1">tabRespPreg1[Opciones mostradas]</definedName>
    <definedName name="RespPreg1R" localSheetId="4">tabRespPreg130[Opciones mostradas]</definedName>
    <definedName name="RespPreg1R">tabRespPreg130[Opciones mostradas]</definedName>
    <definedName name="RespPregR" localSheetId="4">tabRespPreg130[Opciones mostradas]</definedName>
    <definedName name="RespPregR">tabRespPreg130[Opciones mostradas]</definedName>
    <definedName name="tabRespPreg3" localSheetId="47">tabRespPreg24_132[]</definedName>
    <definedName name="tabRespPreg3" localSheetId="4">tabRespPreg24_1[]</definedName>
    <definedName name="tabRespPreg3" localSheetId="7">tabRespPreg24_1[]</definedName>
    <definedName name="tabRespPreg3" localSheetId="3">tabRespPreg24_1[]</definedName>
    <definedName name="tabRespPreg3" localSheetId="1">tabRespPreg24_1[]</definedName>
    <definedName name="tabRespPreg3" localSheetId="46">tabRespPreg24_132[]</definedName>
    <definedName name="tabRespPreg3" localSheetId="48">tabRespPreg24_1[#Data]</definedName>
    <definedName name="tabRespPreg3">tabRespPreg24_1[]</definedName>
    <definedName name="tabRespPreg3R" localSheetId="4">tabRespPreg24_132[]</definedName>
    <definedName name="tabRespPreg3R">tabRespPreg24_132[]</definedName>
    <definedName name="tabRespPreg3R2" localSheetId="4">tabRespPreg24_132[]</definedName>
    <definedName name="tabRespPreg3R2">tabRespPreg24_132[]</definedName>
    <definedName name="_xlnm.Print_Titles" localSheetId="40">'Cash Flow Statement'!$B:$B</definedName>
    <definedName name="_xlnm.Print_Titles" localSheetId="17">'Conta explotación'!$C:$C</definedName>
    <definedName name="_xlnm.Print_Titles" localSheetId="20">'Fluxo de caixa'!$B:$B</definedName>
    <definedName name="_xlnm.Print_Titles" localSheetId="4">'General Real Data (Obs.)'!$C:$C</definedName>
    <definedName name="_xlnm.Print_Titles" localSheetId="39">'Operating Account'!$C:$C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40" l="1"/>
  <c r="D44" i="40"/>
  <c r="E44" i="40"/>
  <c r="F44" i="40"/>
  <c r="G44" i="40"/>
  <c r="H44" i="40"/>
  <c r="I44" i="40"/>
  <c r="J44" i="40"/>
  <c r="K44" i="40"/>
  <c r="L44" i="40"/>
  <c r="M44" i="40"/>
  <c r="N44" i="40"/>
  <c r="O44" i="40"/>
  <c r="P44" i="40"/>
  <c r="Q44" i="40"/>
  <c r="R44" i="40"/>
  <c r="S44" i="40"/>
  <c r="T44" i="40"/>
  <c r="U44" i="40"/>
  <c r="V44" i="40"/>
  <c r="W44" i="40"/>
  <c r="X44" i="40"/>
  <c r="Y44" i="40"/>
  <c r="Z44" i="40"/>
  <c r="B44" i="40"/>
  <c r="C32" i="40"/>
  <c r="D32" i="40"/>
  <c r="E32" i="40"/>
  <c r="F32" i="40"/>
  <c r="G32" i="40"/>
  <c r="H32" i="40"/>
  <c r="I32" i="40"/>
  <c r="J32" i="40"/>
  <c r="K32" i="40"/>
  <c r="L32" i="40"/>
  <c r="M32" i="40"/>
  <c r="N32" i="40"/>
  <c r="O32" i="40"/>
  <c r="P32" i="40"/>
  <c r="Q32" i="40"/>
  <c r="R32" i="40"/>
  <c r="S32" i="40"/>
  <c r="T32" i="40"/>
  <c r="U32" i="40"/>
  <c r="V32" i="40"/>
  <c r="W32" i="40"/>
  <c r="X32" i="40"/>
  <c r="Y32" i="40"/>
  <c r="Z32" i="40"/>
  <c r="C33" i="40"/>
  <c r="D33" i="40"/>
  <c r="E33" i="40"/>
  <c r="F33" i="40"/>
  <c r="G33" i="40"/>
  <c r="H33" i="40"/>
  <c r="I33" i="40"/>
  <c r="J33" i="40"/>
  <c r="K33" i="40"/>
  <c r="L33" i="40"/>
  <c r="M33" i="40"/>
  <c r="N33" i="40"/>
  <c r="O33" i="40"/>
  <c r="P33" i="40"/>
  <c r="Q33" i="40"/>
  <c r="R33" i="40"/>
  <c r="S33" i="40"/>
  <c r="T33" i="40"/>
  <c r="U33" i="40"/>
  <c r="V33" i="40"/>
  <c r="W33" i="40"/>
  <c r="X33" i="40"/>
  <c r="Y33" i="40"/>
  <c r="Z33" i="40"/>
  <c r="C34" i="40"/>
  <c r="D34" i="40"/>
  <c r="E34" i="40"/>
  <c r="F34" i="40"/>
  <c r="G34" i="40"/>
  <c r="H34" i="40"/>
  <c r="I34" i="40"/>
  <c r="J34" i="40"/>
  <c r="K34" i="40"/>
  <c r="L34" i="40"/>
  <c r="M34" i="40"/>
  <c r="N34" i="40"/>
  <c r="O34" i="40"/>
  <c r="P34" i="40"/>
  <c r="Q34" i="40"/>
  <c r="R34" i="40"/>
  <c r="S34" i="40"/>
  <c r="T34" i="40"/>
  <c r="U34" i="40"/>
  <c r="V34" i="40"/>
  <c r="W34" i="40"/>
  <c r="X34" i="40"/>
  <c r="Y34" i="40"/>
  <c r="Z34" i="40"/>
  <c r="C35" i="40"/>
  <c r="B35" i="40"/>
  <c r="B34" i="40" s="1"/>
  <c r="B33" i="40"/>
  <c r="B32" i="40"/>
  <c r="Z26" i="40"/>
  <c r="B26" i="40"/>
  <c r="C26" i="40"/>
  <c r="D26" i="40"/>
  <c r="E26" i="40"/>
  <c r="F26" i="40"/>
  <c r="G26" i="40"/>
  <c r="H26" i="40"/>
  <c r="I26" i="40"/>
  <c r="J26" i="40"/>
  <c r="K26" i="40"/>
  <c r="L26" i="40"/>
  <c r="M26" i="40"/>
  <c r="N26" i="40"/>
  <c r="O26" i="40"/>
  <c r="P26" i="40"/>
  <c r="Q26" i="40"/>
  <c r="R26" i="40"/>
  <c r="S26" i="40"/>
  <c r="T26" i="40"/>
  <c r="U26" i="40"/>
  <c r="V26" i="40"/>
  <c r="W26" i="40"/>
  <c r="X26" i="40"/>
  <c r="Y26" i="40"/>
  <c r="C27" i="40"/>
  <c r="D27" i="40"/>
  <c r="E27" i="40"/>
  <c r="F27" i="40"/>
  <c r="G27" i="40"/>
  <c r="H27" i="40"/>
  <c r="I27" i="40"/>
  <c r="J27" i="40"/>
  <c r="K27" i="40"/>
  <c r="L27" i="40"/>
  <c r="M27" i="40"/>
  <c r="N27" i="40"/>
  <c r="O27" i="40"/>
  <c r="P27" i="40"/>
  <c r="Q27" i="40"/>
  <c r="R27" i="40"/>
  <c r="S27" i="40"/>
  <c r="T27" i="40"/>
  <c r="U27" i="40"/>
  <c r="V27" i="40"/>
  <c r="W27" i="40"/>
  <c r="X27" i="40"/>
  <c r="Y27" i="40"/>
  <c r="Z27" i="40"/>
  <c r="C28" i="40"/>
  <c r="D28" i="40"/>
  <c r="E28" i="40"/>
  <c r="F28" i="40"/>
  <c r="G28" i="40"/>
  <c r="H28" i="40"/>
  <c r="I28" i="40"/>
  <c r="J28" i="40"/>
  <c r="K28" i="40"/>
  <c r="L28" i="40"/>
  <c r="M28" i="40"/>
  <c r="N28" i="40"/>
  <c r="O28" i="40"/>
  <c r="P28" i="40"/>
  <c r="Q28" i="40"/>
  <c r="R28" i="40"/>
  <c r="S28" i="40"/>
  <c r="T28" i="40"/>
  <c r="U28" i="40"/>
  <c r="V28" i="40"/>
  <c r="W28" i="40"/>
  <c r="X28" i="40"/>
  <c r="Y28" i="40"/>
  <c r="Z28" i="40"/>
  <c r="B28" i="40"/>
  <c r="B27" i="40"/>
  <c r="I18" i="28"/>
  <c r="H18" i="28"/>
  <c r="H3" i="28"/>
  <c r="H4" i="28"/>
  <c r="H2" i="28"/>
  <c r="I49" i="56"/>
  <c r="D7" i="50" l="1"/>
  <c r="E7" i="50"/>
  <c r="F7" i="50"/>
  <c r="G7" i="50"/>
  <c r="I7" i="50"/>
  <c r="J7" i="50"/>
  <c r="M7" i="50"/>
  <c r="N7" i="50"/>
  <c r="O7" i="50"/>
  <c r="U7" i="50"/>
  <c r="V7" i="50"/>
  <c r="X7" i="50"/>
  <c r="Y7" i="50"/>
  <c r="E8" i="50"/>
  <c r="F8" i="50"/>
  <c r="G8" i="50"/>
  <c r="H8" i="50"/>
  <c r="J8" i="50"/>
  <c r="P8" i="50"/>
  <c r="Q8" i="50"/>
  <c r="S8" i="50"/>
  <c r="T8" i="50"/>
  <c r="U8" i="50"/>
  <c r="Y8" i="50"/>
  <c r="Z8" i="50"/>
  <c r="C6" i="50"/>
  <c r="D6" i="50"/>
  <c r="E6" i="50"/>
  <c r="F6" i="50"/>
  <c r="U6" i="50"/>
  <c r="V6" i="50"/>
  <c r="W6" i="50"/>
  <c r="X6" i="50"/>
  <c r="Y6" i="50"/>
  <c r="Z6" i="50"/>
  <c r="C6" i="42"/>
  <c r="D6" i="42"/>
  <c r="E6" i="42"/>
  <c r="F6" i="42"/>
  <c r="G6" i="42"/>
  <c r="G6" i="50" s="1"/>
  <c r="H6" i="42"/>
  <c r="H6" i="50" s="1"/>
  <c r="I6" i="42"/>
  <c r="I9" i="42" s="1"/>
  <c r="J6" i="42"/>
  <c r="J6" i="50" s="1"/>
  <c r="K6" i="42"/>
  <c r="K9" i="42" s="1"/>
  <c r="L6" i="42"/>
  <c r="L9" i="42" s="1"/>
  <c r="M6" i="42"/>
  <c r="M9" i="42" s="1"/>
  <c r="N6" i="42"/>
  <c r="N9" i="42" s="1"/>
  <c r="O6" i="42"/>
  <c r="O6" i="50" s="1"/>
  <c r="P6" i="42"/>
  <c r="P9" i="42" s="1"/>
  <c r="Q6" i="42"/>
  <c r="Q6" i="50" s="1"/>
  <c r="R6" i="42"/>
  <c r="R6" i="50" s="1"/>
  <c r="S6" i="42"/>
  <c r="S9" i="42" s="1"/>
  <c r="T6" i="42"/>
  <c r="T9" i="42" s="1"/>
  <c r="U6" i="42"/>
  <c r="V6" i="42"/>
  <c r="W6" i="42"/>
  <c r="X6" i="42"/>
  <c r="Y6" i="42"/>
  <c r="Z6" i="42"/>
  <c r="C7" i="42"/>
  <c r="C7" i="50" s="1"/>
  <c r="D7" i="42"/>
  <c r="E7" i="42"/>
  <c r="F7" i="42"/>
  <c r="G7" i="42"/>
  <c r="H7" i="42"/>
  <c r="H7" i="50" s="1"/>
  <c r="I7" i="42"/>
  <c r="J7" i="42"/>
  <c r="K7" i="42"/>
  <c r="K7" i="50" s="1"/>
  <c r="L7" i="42"/>
  <c r="L7" i="50" s="1"/>
  <c r="M7" i="42"/>
  <c r="N7" i="42"/>
  <c r="O7" i="42"/>
  <c r="P7" i="42"/>
  <c r="P7" i="50" s="1"/>
  <c r="Q7" i="42"/>
  <c r="Q7" i="50" s="1"/>
  <c r="R7" i="42"/>
  <c r="R7" i="50" s="1"/>
  <c r="S7" i="42"/>
  <c r="S7" i="50" s="1"/>
  <c r="T7" i="42"/>
  <c r="T7" i="50" s="1"/>
  <c r="U7" i="42"/>
  <c r="V7" i="42"/>
  <c r="W7" i="42"/>
  <c r="W7" i="50" s="1"/>
  <c r="X7" i="42"/>
  <c r="Y7" i="42"/>
  <c r="Z7" i="42"/>
  <c r="Z7" i="50" s="1"/>
  <c r="C8" i="42"/>
  <c r="C8" i="50" s="1"/>
  <c r="D8" i="42"/>
  <c r="D8" i="50" s="1"/>
  <c r="E8" i="42"/>
  <c r="F8" i="42"/>
  <c r="G8" i="42"/>
  <c r="H8" i="42"/>
  <c r="I8" i="42"/>
  <c r="I8" i="50" s="1"/>
  <c r="J8" i="42"/>
  <c r="J9" i="42" s="1"/>
  <c r="K8" i="42"/>
  <c r="K8" i="50" s="1"/>
  <c r="L8" i="42"/>
  <c r="L8" i="50" s="1"/>
  <c r="M8" i="42"/>
  <c r="M8" i="50" s="1"/>
  <c r="N8" i="42"/>
  <c r="N8" i="50" s="1"/>
  <c r="O8" i="42"/>
  <c r="O8" i="50" s="1"/>
  <c r="P8" i="42"/>
  <c r="Q8" i="42"/>
  <c r="R8" i="42"/>
  <c r="R8" i="50" s="1"/>
  <c r="S8" i="42"/>
  <c r="T8" i="42"/>
  <c r="U8" i="42"/>
  <c r="V8" i="42"/>
  <c r="V8" i="50" s="1"/>
  <c r="W8" i="42"/>
  <c r="W8" i="50" s="1"/>
  <c r="X8" i="42"/>
  <c r="X8" i="50" s="1"/>
  <c r="Y8" i="42"/>
  <c r="Z8" i="42"/>
  <c r="Z9" i="42" s="1"/>
  <c r="C9" i="42"/>
  <c r="D9" i="42"/>
  <c r="E9" i="42"/>
  <c r="F9" i="42"/>
  <c r="G9" i="42"/>
  <c r="H9" i="42"/>
  <c r="U9" i="42"/>
  <c r="W9" i="42"/>
  <c r="X9" i="42"/>
  <c r="Y9" i="42"/>
  <c r="B8" i="42"/>
  <c r="AA8" i="42" s="1"/>
  <c r="B7" i="42"/>
  <c r="B7" i="50" s="1"/>
  <c r="B6" i="42"/>
  <c r="B6" i="50" s="1"/>
  <c r="B29" i="40"/>
  <c r="C224" i="56"/>
  <c r="A27" i="38"/>
  <c r="E215" i="51"/>
  <c r="C1" i="38"/>
  <c r="B1" i="38"/>
  <c r="E238" i="51"/>
  <c r="A1" i="38"/>
  <c r="B38" i="49"/>
  <c r="C38" i="49" s="1"/>
  <c r="B34" i="49"/>
  <c r="C26" i="28"/>
  <c r="C25" i="28"/>
  <c r="B26" i="28"/>
  <c r="B25" i="28"/>
  <c r="I4" i="28"/>
  <c r="I2" i="28"/>
  <c r="B5" i="26"/>
  <c r="D3" i="27"/>
  <c r="E235" i="56"/>
  <c r="C4" i="27"/>
  <c r="B4" i="27"/>
  <c r="H11" i="28" s="1"/>
  <c r="C15" i="23"/>
  <c r="C14" i="23"/>
  <c r="C10" i="23"/>
  <c r="C11" i="23"/>
  <c r="C9" i="23"/>
  <c r="C8" i="23" s="1"/>
  <c r="B10" i="23"/>
  <c r="B11" i="23"/>
  <c r="B9" i="23"/>
  <c r="B8" i="23"/>
  <c r="B3" i="23"/>
  <c r="B2" i="23"/>
  <c r="B2" i="48"/>
  <c r="B12" i="48" s="1"/>
  <c r="B1" i="48"/>
  <c r="AE8" i="45"/>
  <c r="B14" i="47"/>
  <c r="B14" i="48" s="1"/>
  <c r="B15" i="47"/>
  <c r="B15" i="48" s="1"/>
  <c r="B13" i="47"/>
  <c r="B13" i="48" s="1"/>
  <c r="B7" i="47"/>
  <c r="B7" i="48" s="1"/>
  <c r="B6" i="47"/>
  <c r="B6" i="48" s="1"/>
  <c r="E150" i="51"/>
  <c r="C240" i="56"/>
  <c r="E240" i="56"/>
  <c r="B4" i="47"/>
  <c r="B4" i="48" s="1"/>
  <c r="B5" i="47"/>
  <c r="B5" i="48" s="1"/>
  <c r="B3" i="47"/>
  <c r="B2" i="47"/>
  <c r="B12" i="47" s="1"/>
  <c r="B1" i="47"/>
  <c r="B11" i="47" s="1"/>
  <c r="E11" i="15"/>
  <c r="C238" i="56"/>
  <c r="C237" i="56"/>
  <c r="C236" i="56"/>
  <c r="E93" i="51"/>
  <c r="E94" i="51"/>
  <c r="E95" i="51"/>
  <c r="E96" i="51"/>
  <c r="C235" i="56"/>
  <c r="C232" i="56"/>
  <c r="C231" i="56"/>
  <c r="C230" i="56"/>
  <c r="C229" i="56"/>
  <c r="E91" i="51"/>
  <c r="E88" i="51"/>
  <c r="E89" i="51"/>
  <c r="E90" i="51"/>
  <c r="C228" i="56"/>
  <c r="C227" i="56"/>
  <c r="E86" i="51"/>
  <c r="E87" i="51"/>
  <c r="E237" i="51"/>
  <c r="E74" i="51"/>
  <c r="E62" i="51"/>
  <c r="E63" i="51"/>
  <c r="E64" i="51"/>
  <c r="E373" i="51"/>
  <c r="E372" i="51"/>
  <c r="E32" i="51"/>
  <c r="E33" i="51"/>
  <c r="C10" i="56"/>
  <c r="C39" i="56"/>
  <c r="C38" i="56"/>
  <c r="C32" i="56"/>
  <c r="C31" i="56"/>
  <c r="C30" i="56"/>
  <c r="C29" i="56"/>
  <c r="C28" i="56"/>
  <c r="C27" i="56"/>
  <c r="C26" i="56"/>
  <c r="C25" i="56"/>
  <c r="E273" i="51"/>
  <c r="E274" i="51"/>
  <c r="C24" i="56"/>
  <c r="C22" i="56"/>
  <c r="C21" i="56"/>
  <c r="E114" i="51"/>
  <c r="C20" i="56"/>
  <c r="C18" i="56"/>
  <c r="C17" i="56"/>
  <c r="C14" i="56"/>
  <c r="C12" i="56"/>
  <c r="C11" i="56"/>
  <c r="C8" i="56"/>
  <c r="C6" i="56"/>
  <c r="C7" i="56"/>
  <c r="E252" i="51"/>
  <c r="C16" i="56"/>
  <c r="C5" i="56"/>
  <c r="D5" i="56"/>
  <c r="D4" i="56"/>
  <c r="E38" i="51"/>
  <c r="E39" i="51"/>
  <c r="C2" i="56"/>
  <c r="D2" i="2"/>
  <c r="G2" i="44"/>
  <c r="AE7" i="45" s="1"/>
  <c r="F2" i="56"/>
  <c r="E129" i="51"/>
  <c r="D26" i="45"/>
  <c r="D25" i="45"/>
  <c r="D24" i="45"/>
  <c r="D23" i="45"/>
  <c r="D22" i="45"/>
  <c r="D18" i="45"/>
  <c r="D20" i="45" s="1"/>
  <c r="C16" i="45"/>
  <c r="F86" i="44"/>
  <c r="F72" i="44"/>
  <c r="AA7" i="50" l="1"/>
  <c r="T6" i="50"/>
  <c r="V9" i="42"/>
  <c r="S6" i="50"/>
  <c r="B9" i="42"/>
  <c r="B8" i="50"/>
  <c r="AA8" i="50" s="1"/>
  <c r="Q9" i="42"/>
  <c r="N6" i="50"/>
  <c r="O9" i="42"/>
  <c r="L6" i="50"/>
  <c r="K6" i="50"/>
  <c r="P6" i="50"/>
  <c r="R9" i="42"/>
  <c r="M6" i="50"/>
  <c r="I6" i="50"/>
  <c r="AA6" i="50" s="1"/>
  <c r="H9" i="28"/>
  <c r="I9" i="28"/>
  <c r="B22" i="40"/>
  <c r="H6" i="28"/>
  <c r="H8" i="28" s="1"/>
  <c r="H10" i="28" s="1"/>
  <c r="D25" i="28"/>
  <c r="I3" i="28"/>
  <c r="I6" i="28" s="1"/>
  <c r="I8" i="28" s="1"/>
  <c r="D26" i="28"/>
  <c r="B8" i="47"/>
  <c r="B18" i="47"/>
  <c r="B19" i="47" s="1"/>
  <c r="B16" i="47"/>
  <c r="B3" i="48"/>
  <c r="B8" i="48" s="1"/>
  <c r="D4" i="27"/>
  <c r="C245" i="56"/>
  <c r="B11" i="48"/>
  <c r="F74" i="44"/>
  <c r="E221" i="56"/>
  <c r="E227" i="56"/>
  <c r="H14" i="28" l="1"/>
  <c r="H13" i="28"/>
  <c r="I13" i="28" s="1"/>
  <c r="H12" i="28"/>
  <c r="I10" i="28"/>
  <c r="B21" i="40"/>
  <c r="B23" i="40" s="1"/>
  <c r="D27" i="28"/>
  <c r="D54" i="44"/>
  <c r="D55" i="44"/>
  <c r="D53" i="44"/>
  <c r="D49" i="44"/>
  <c r="D48" i="44"/>
  <c r="D44" i="44"/>
  <c r="I12" i="28" l="1"/>
  <c r="H15" i="28"/>
  <c r="D39" i="44"/>
  <c r="D38" i="44"/>
  <c r="D25" i="44"/>
  <c r="D26" i="44"/>
  <c r="D27" i="44"/>
  <c r="D28" i="44"/>
  <c r="D29" i="44"/>
  <c r="D30" i="44"/>
  <c r="D31" i="44"/>
  <c r="D32" i="44"/>
  <c r="D24" i="44"/>
  <c r="D21" i="44"/>
  <c r="D22" i="44"/>
  <c r="D20" i="44"/>
  <c r="D18" i="44"/>
  <c r="D17" i="44"/>
  <c r="D14" i="44"/>
  <c r="D11" i="44"/>
  <c r="D12" i="44"/>
  <c r="D10" i="44"/>
  <c r="D7" i="44"/>
  <c r="D8" i="44"/>
  <c r="D6" i="44"/>
  <c r="D5" i="44"/>
  <c r="D16" i="44" s="1"/>
  <c r="D4" i="44"/>
  <c r="D5" i="45" s="1"/>
  <c r="E16" i="56"/>
  <c r="E61" i="56"/>
  <c r="E60" i="56"/>
  <c r="E37" i="56"/>
  <c r="D37" i="56"/>
  <c r="D19" i="56"/>
  <c r="C13" i="56"/>
  <c r="D9" i="56"/>
  <c r="E41" i="45"/>
  <c r="D23" i="44" l="1"/>
  <c r="D13" i="44"/>
  <c r="D9" i="44"/>
  <c r="D23" i="56"/>
  <c r="E13" i="56"/>
  <c r="E63" i="56"/>
  <c r="D13" i="56"/>
  <c r="D15" i="56" s="1"/>
  <c r="D33" i="56"/>
  <c r="E23" i="56"/>
  <c r="E33" i="56"/>
  <c r="C18" i="54"/>
  <c r="C12" i="54"/>
  <c r="C13" i="54" s="1"/>
  <c r="C21" i="54" s="1"/>
  <c r="C25" i="54" s="1"/>
  <c r="B12" i="54"/>
  <c r="B11" i="54"/>
  <c r="B13" i="54" s="1"/>
  <c r="B21" i="54" s="1"/>
  <c r="B25" i="54" s="1"/>
  <c r="C8" i="54"/>
  <c r="B6" i="54"/>
  <c r="B8" i="54" s="1"/>
  <c r="A2" i="53" a="1"/>
  <c r="A2" i="53" s="1"/>
  <c r="B3" i="52"/>
  <c r="D3" i="52"/>
  <c r="F3" i="52"/>
  <c r="H3" i="52"/>
  <c r="J3" i="52"/>
  <c r="L3" i="52"/>
  <c r="N3" i="52"/>
  <c r="P3" i="52"/>
  <c r="R3" i="52"/>
  <c r="T3" i="52"/>
  <c r="V3" i="52"/>
  <c r="X3" i="52"/>
  <c r="Z3" i="52"/>
  <c r="AB3" i="52"/>
  <c r="AD3" i="52"/>
  <c r="AF3" i="52"/>
  <c r="AH3" i="52"/>
  <c r="AJ3" i="52"/>
  <c r="AL3" i="52"/>
  <c r="AN3" i="52"/>
  <c r="AP3" i="52"/>
  <c r="AR3" i="52"/>
  <c r="AT3" i="52"/>
  <c r="AV3" i="52"/>
  <c r="AX3" i="52"/>
  <c r="AZ3" i="52"/>
  <c r="B4" i="52"/>
  <c r="F4" i="52"/>
  <c r="H4" i="52"/>
  <c r="J4" i="52"/>
  <c r="L4" i="52"/>
  <c r="N4" i="52"/>
  <c r="P4" i="52"/>
  <c r="R4" i="52"/>
  <c r="T4" i="52"/>
  <c r="V4" i="52"/>
  <c r="X4" i="52"/>
  <c r="Z4" i="52"/>
  <c r="AB4" i="52"/>
  <c r="AD4" i="52"/>
  <c r="AF4" i="52"/>
  <c r="AH4" i="52"/>
  <c r="AJ4" i="52"/>
  <c r="AL4" i="52"/>
  <c r="AN4" i="52"/>
  <c r="AP4" i="52"/>
  <c r="AR4" i="52"/>
  <c r="AT4" i="52"/>
  <c r="AV4" i="52"/>
  <c r="AX4" i="52"/>
  <c r="AZ4" i="52"/>
  <c r="B5" i="52"/>
  <c r="F5" i="52"/>
  <c r="P5" i="52"/>
  <c r="AV5" i="52"/>
  <c r="AZ5" i="52"/>
  <c r="F6" i="52"/>
  <c r="D15" i="44" l="1"/>
  <c r="D40" i="56"/>
  <c r="D42" i="56" s="1"/>
  <c r="D46" i="56" s="1"/>
  <c r="E62" i="56"/>
  <c r="E19" i="56"/>
  <c r="E9" i="56"/>
  <c r="E2" i="51"/>
  <c r="E3" i="51"/>
  <c r="F2" i="44" s="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4" i="51"/>
  <c r="E35" i="51"/>
  <c r="E36" i="51"/>
  <c r="E37" i="51"/>
  <c r="E40" i="51"/>
  <c r="E41" i="51"/>
  <c r="E42" i="51"/>
  <c r="E43" i="51"/>
  <c r="E44" i="51"/>
  <c r="E45" i="51"/>
  <c r="E46" i="51"/>
  <c r="E47" i="51"/>
  <c r="E48" i="51"/>
  <c r="E49" i="51"/>
  <c r="E50" i="51"/>
  <c r="E51" i="51"/>
  <c r="E52" i="51"/>
  <c r="E54" i="51"/>
  <c r="E55" i="51"/>
  <c r="E56" i="51"/>
  <c r="E57" i="51"/>
  <c r="E58" i="51"/>
  <c r="E59" i="51"/>
  <c r="E60" i="51"/>
  <c r="E65" i="51"/>
  <c r="E66" i="51"/>
  <c r="E67" i="51"/>
  <c r="E68" i="51"/>
  <c r="E69" i="51"/>
  <c r="E70" i="51"/>
  <c r="E71" i="51"/>
  <c r="E72" i="51"/>
  <c r="E73" i="51"/>
  <c r="E75" i="51"/>
  <c r="E76" i="51"/>
  <c r="E77" i="51"/>
  <c r="E78" i="51"/>
  <c r="E79" i="51"/>
  <c r="E80" i="51"/>
  <c r="E81" i="51"/>
  <c r="E82" i="51"/>
  <c r="E83" i="51"/>
  <c r="E84" i="51"/>
  <c r="E85" i="51"/>
  <c r="E92" i="51"/>
  <c r="E97" i="51"/>
  <c r="E98" i="51"/>
  <c r="E99" i="51"/>
  <c r="E100" i="51"/>
  <c r="E101" i="51"/>
  <c r="E102" i="51"/>
  <c r="E103" i="51"/>
  <c r="E104" i="51"/>
  <c r="E105" i="51"/>
  <c r="E106" i="51"/>
  <c r="E107" i="51"/>
  <c r="E108" i="51"/>
  <c r="E109" i="51"/>
  <c r="E110" i="51"/>
  <c r="E111" i="51"/>
  <c r="E112" i="51"/>
  <c r="E113" i="51"/>
  <c r="E116" i="51"/>
  <c r="E117" i="51"/>
  <c r="E118" i="51"/>
  <c r="E119" i="51"/>
  <c r="E120" i="51"/>
  <c r="E121" i="51"/>
  <c r="E122" i="51"/>
  <c r="E123" i="51"/>
  <c r="E124" i="51"/>
  <c r="E125" i="51"/>
  <c r="E126" i="51"/>
  <c r="E127" i="51"/>
  <c r="E128" i="51"/>
  <c r="E130" i="51"/>
  <c r="E131" i="51"/>
  <c r="E132" i="51"/>
  <c r="E133" i="51"/>
  <c r="E134" i="51"/>
  <c r="E135" i="51"/>
  <c r="E136" i="51"/>
  <c r="E137" i="51"/>
  <c r="E138" i="51"/>
  <c r="E139" i="51"/>
  <c r="E140" i="51"/>
  <c r="E141" i="51"/>
  <c r="E142" i="51"/>
  <c r="E143" i="51"/>
  <c r="E144" i="51"/>
  <c r="E145" i="51"/>
  <c r="E146" i="51"/>
  <c r="E147" i="51"/>
  <c r="E148" i="51"/>
  <c r="E149"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10" i="51"/>
  <c r="E211" i="51"/>
  <c r="E212" i="51"/>
  <c r="E213" i="51"/>
  <c r="E214" i="51"/>
  <c r="E216" i="51"/>
  <c r="E222" i="51"/>
  <c r="E223" i="51"/>
  <c r="E224" i="51"/>
  <c r="E225" i="51"/>
  <c r="E227" i="51"/>
  <c r="E228" i="51"/>
  <c r="E229" i="51"/>
  <c r="E233" i="51"/>
  <c r="E234" i="51"/>
  <c r="E235" i="51"/>
  <c r="E236" i="51"/>
  <c r="E239" i="51"/>
  <c r="E240" i="51"/>
  <c r="E242" i="51"/>
  <c r="E243" i="51"/>
  <c r="E246" i="51"/>
  <c r="E247" i="51"/>
  <c r="E248" i="51"/>
  <c r="E249" i="51"/>
  <c r="E250" i="51"/>
  <c r="E251" i="51"/>
  <c r="E253" i="51"/>
  <c r="E254" i="51"/>
  <c r="E255" i="51"/>
  <c r="E256" i="51"/>
  <c r="E257" i="51"/>
  <c r="E258" i="51"/>
  <c r="E262" i="51"/>
  <c r="E263" i="51"/>
  <c r="E264" i="51"/>
  <c r="E265" i="51"/>
  <c r="E266" i="51"/>
  <c r="E268" i="51"/>
  <c r="E269" i="51"/>
  <c r="E270" i="51"/>
  <c r="E271" i="51"/>
  <c r="E272" i="51"/>
  <c r="E275" i="51"/>
  <c r="E276" i="51"/>
  <c r="E277" i="51"/>
  <c r="E278" i="51"/>
  <c r="E279" i="51"/>
  <c r="E280" i="51"/>
  <c r="E281" i="51"/>
  <c r="E282"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B2" i="49"/>
  <c r="J2" i="49"/>
  <c r="B3" i="49"/>
  <c r="B5" i="49"/>
  <c r="C5" i="49"/>
  <c r="B10" i="49"/>
  <c r="C10" i="49"/>
  <c r="B22" i="49"/>
  <c r="C7" i="47"/>
  <c r="D7" i="47" s="1"/>
  <c r="E7" i="47" s="1"/>
  <c r="F7" i="47" s="1"/>
  <c r="G7" i="47" s="1"/>
  <c r="H7" i="47" s="1"/>
  <c r="I7" i="47" s="1"/>
  <c r="J7" i="47" s="1"/>
  <c r="K7" i="47" s="1"/>
  <c r="L7" i="47" s="1"/>
  <c r="M7" i="47" s="1"/>
  <c r="N7" i="47" s="1"/>
  <c r="O7" i="47" s="1"/>
  <c r="P7" i="47" s="1"/>
  <c r="Q7" i="47" s="1"/>
  <c r="R7" i="47" s="1"/>
  <c r="S7" i="47" s="1"/>
  <c r="T7" i="47" s="1"/>
  <c r="U7" i="47" s="1"/>
  <c r="V7" i="47" s="1"/>
  <c r="W7" i="47" s="1"/>
  <c r="X7" i="47" s="1"/>
  <c r="Y7" i="47" s="1"/>
  <c r="Z7" i="47" s="1"/>
  <c r="C13" i="47"/>
  <c r="D13" i="47"/>
  <c r="E13" i="47"/>
  <c r="F13" i="47"/>
  <c r="G13" i="47"/>
  <c r="H13" i="47"/>
  <c r="I13" i="47"/>
  <c r="J13" i="47"/>
  <c r="K13" i="47"/>
  <c r="L13" i="47"/>
  <c r="M13" i="47"/>
  <c r="N13" i="47"/>
  <c r="O13" i="47"/>
  <c r="P13" i="47"/>
  <c r="Q13" i="47"/>
  <c r="R13" i="47"/>
  <c r="S13" i="47"/>
  <c r="T13" i="47"/>
  <c r="U13" i="47"/>
  <c r="V13" i="47"/>
  <c r="W13" i="47"/>
  <c r="X13" i="47"/>
  <c r="Y13" i="47"/>
  <c r="Z13" i="47"/>
  <c r="C3" i="46"/>
  <c r="D3" i="46"/>
  <c r="E3" i="46"/>
  <c r="F3" i="46"/>
  <c r="G3" i="46"/>
  <c r="H3" i="46"/>
  <c r="I3" i="46"/>
  <c r="J3" i="46"/>
  <c r="K3" i="46"/>
  <c r="L3" i="46"/>
  <c r="M3" i="46"/>
  <c r="N3" i="46"/>
  <c r="O3" i="46"/>
  <c r="P3" i="46"/>
  <c r="Q3" i="46"/>
  <c r="R3" i="46"/>
  <c r="S3" i="46"/>
  <c r="T3" i="46"/>
  <c r="U3" i="46"/>
  <c r="V3" i="46"/>
  <c r="W3" i="46"/>
  <c r="X3" i="46"/>
  <c r="Y3" i="46"/>
  <c r="Z3" i="46"/>
  <c r="AA3" i="46"/>
  <c r="B7" i="46"/>
  <c r="D6" i="45"/>
  <c r="E6" i="45"/>
  <c r="F6" i="45"/>
  <c r="G6" i="45"/>
  <c r="H6" i="45"/>
  <c r="I6" i="45"/>
  <c r="J6" i="45"/>
  <c r="K6" i="45"/>
  <c r="L6" i="45"/>
  <c r="M6" i="45"/>
  <c r="N6" i="45"/>
  <c r="O6" i="45"/>
  <c r="P6" i="45"/>
  <c r="Q6" i="45"/>
  <c r="R6" i="45"/>
  <c r="S6" i="45"/>
  <c r="T6" i="45"/>
  <c r="U6" i="45"/>
  <c r="V6" i="45"/>
  <c r="W6" i="45"/>
  <c r="X6" i="45"/>
  <c r="Y6" i="45"/>
  <c r="Z6" i="45"/>
  <c r="AA6" i="45"/>
  <c r="AB6" i="45"/>
  <c r="D12" i="45"/>
  <c r="F12" i="45"/>
  <c r="G12" i="45"/>
  <c r="J12" i="45"/>
  <c r="L12" i="45"/>
  <c r="N12" i="45"/>
  <c r="O12" i="45"/>
  <c r="P12" i="45"/>
  <c r="Q12" i="45"/>
  <c r="X12" i="45"/>
  <c r="AA12" i="45"/>
  <c r="D13" i="45"/>
  <c r="J14" i="45"/>
  <c r="N14" i="45"/>
  <c r="V14" i="45"/>
  <c r="W14" i="45"/>
  <c r="AC15" i="45"/>
  <c r="R18" i="45"/>
  <c r="AC19" i="45"/>
  <c r="E20" i="45"/>
  <c r="F20" i="45"/>
  <c r="G20" i="45"/>
  <c r="H20" i="45"/>
  <c r="I20" i="45"/>
  <c r="J20" i="45"/>
  <c r="K20" i="45"/>
  <c r="L20" i="45"/>
  <c r="M20" i="45"/>
  <c r="N20" i="45"/>
  <c r="O20" i="45"/>
  <c r="P20" i="45"/>
  <c r="Q20" i="45"/>
  <c r="R20" i="45"/>
  <c r="S20" i="45"/>
  <c r="T20" i="45"/>
  <c r="U20" i="45"/>
  <c r="V20" i="45"/>
  <c r="W20" i="45"/>
  <c r="X20" i="45"/>
  <c r="Y20" i="45"/>
  <c r="Z20" i="45"/>
  <c r="AA20" i="45"/>
  <c r="AB20" i="45"/>
  <c r="AC23" i="45"/>
  <c r="AC24" i="45"/>
  <c r="I27" i="45"/>
  <c r="K27" i="45"/>
  <c r="L27" i="45"/>
  <c r="M27" i="45"/>
  <c r="N27" i="45"/>
  <c r="O27" i="45"/>
  <c r="Q27" i="45"/>
  <c r="R27" i="45"/>
  <c r="V27" i="45"/>
  <c r="W27" i="45"/>
  <c r="AB27" i="45"/>
  <c r="C10" i="44"/>
  <c r="H12" i="45"/>
  <c r="I12" i="45"/>
  <c r="K12" i="45"/>
  <c r="R12" i="45"/>
  <c r="T12" i="45"/>
  <c r="W12" i="45"/>
  <c r="Y12" i="45"/>
  <c r="Z12" i="45"/>
  <c r="AB12" i="45"/>
  <c r="D35" i="44"/>
  <c r="D37" i="44"/>
  <c r="I14" i="45"/>
  <c r="J27" i="45"/>
  <c r="K14" i="45"/>
  <c r="L14" i="45"/>
  <c r="M14" i="45"/>
  <c r="O14" i="45"/>
  <c r="P14" i="45"/>
  <c r="Q14" i="45"/>
  <c r="R14" i="45"/>
  <c r="AB14" i="45"/>
  <c r="D60" i="44"/>
  <c r="D61" i="44"/>
  <c r="AA6" i="42"/>
  <c r="B3" i="40"/>
  <c r="C3" i="40"/>
  <c r="D3" i="40"/>
  <c r="E3" i="40"/>
  <c r="F3" i="40"/>
  <c r="G3" i="40"/>
  <c r="H3" i="40"/>
  <c r="I3" i="40"/>
  <c r="J3" i="40"/>
  <c r="K3" i="40"/>
  <c r="L3" i="40"/>
  <c r="M3" i="40"/>
  <c r="N3" i="40"/>
  <c r="O3" i="40"/>
  <c r="P3" i="40"/>
  <c r="Q3" i="40"/>
  <c r="R3" i="40"/>
  <c r="S3" i="40"/>
  <c r="T3" i="40"/>
  <c r="U3" i="40"/>
  <c r="V3" i="40"/>
  <c r="W3" i="40"/>
  <c r="X3" i="40"/>
  <c r="Y3" i="40"/>
  <c r="Z3" i="40"/>
  <c r="AA3" i="40"/>
  <c r="B4" i="40"/>
  <c r="C4" i="40"/>
  <c r="D4" i="40"/>
  <c r="E4" i="40"/>
  <c r="F4" i="40"/>
  <c r="G4" i="40"/>
  <c r="H4" i="40"/>
  <c r="I4" i="40"/>
  <c r="J4" i="40"/>
  <c r="K4" i="40"/>
  <c r="L4" i="40"/>
  <c r="M4" i="40"/>
  <c r="N4" i="40"/>
  <c r="O4" i="40"/>
  <c r="P4" i="40"/>
  <c r="Q4" i="40"/>
  <c r="R4" i="40"/>
  <c r="S4" i="40"/>
  <c r="T4" i="40"/>
  <c r="U4" i="40"/>
  <c r="V4" i="40"/>
  <c r="W4" i="40"/>
  <c r="X4" i="40"/>
  <c r="Y4" i="40"/>
  <c r="Z4" i="40"/>
  <c r="B6" i="40"/>
  <c r="C6" i="40"/>
  <c r="D6" i="40"/>
  <c r="E6" i="40"/>
  <c r="F6" i="40"/>
  <c r="G6" i="40"/>
  <c r="H6" i="40"/>
  <c r="I6" i="40"/>
  <c r="J6" i="40"/>
  <c r="K6" i="40"/>
  <c r="L6" i="40"/>
  <c r="M6" i="40"/>
  <c r="N6" i="40"/>
  <c r="O6" i="40"/>
  <c r="P6" i="40"/>
  <c r="Q6" i="40"/>
  <c r="R6" i="40"/>
  <c r="S6" i="40"/>
  <c r="T6" i="40"/>
  <c r="U6" i="40"/>
  <c r="V6" i="40"/>
  <c r="W6" i="40"/>
  <c r="X6" i="40"/>
  <c r="Y6" i="40"/>
  <c r="Z6" i="40"/>
  <c r="B11" i="40"/>
  <c r="C11" i="40"/>
  <c r="D11" i="40"/>
  <c r="E11" i="40"/>
  <c r="F11" i="40"/>
  <c r="G11" i="40"/>
  <c r="H11" i="40"/>
  <c r="I11" i="40"/>
  <c r="J11" i="40"/>
  <c r="K11" i="40"/>
  <c r="L11" i="40"/>
  <c r="M11" i="40"/>
  <c r="N11" i="40"/>
  <c r="O11" i="40"/>
  <c r="P11" i="40"/>
  <c r="Q11" i="40"/>
  <c r="R11" i="40"/>
  <c r="S11" i="40"/>
  <c r="T11" i="40"/>
  <c r="U11" i="40"/>
  <c r="V11" i="40"/>
  <c r="W11" i="40"/>
  <c r="X11" i="40"/>
  <c r="Y11" i="40"/>
  <c r="Z11" i="40"/>
  <c r="B3" i="39"/>
  <c r="AA3" i="39" s="1"/>
  <c r="C3" i="39"/>
  <c r="D3" i="39"/>
  <c r="E3" i="39"/>
  <c r="F3" i="39"/>
  <c r="G3" i="39"/>
  <c r="H3" i="39"/>
  <c r="I3" i="39"/>
  <c r="J3" i="39"/>
  <c r="K3" i="39"/>
  <c r="L3" i="39"/>
  <c r="M3" i="39"/>
  <c r="N3" i="39"/>
  <c r="O3" i="39"/>
  <c r="P3" i="39"/>
  <c r="Q3" i="39"/>
  <c r="R3" i="39"/>
  <c r="S3" i="39"/>
  <c r="T3" i="39"/>
  <c r="U3" i="39"/>
  <c r="V3" i="39"/>
  <c r="W3" i="39"/>
  <c r="X3" i="39"/>
  <c r="Y3" i="39"/>
  <c r="Z3" i="39"/>
  <c r="B4" i="39"/>
  <c r="C4" i="39"/>
  <c r="D4" i="39"/>
  <c r="E4" i="39"/>
  <c r="F4" i="39"/>
  <c r="G4" i="39"/>
  <c r="H4" i="39"/>
  <c r="I4" i="39"/>
  <c r="J4" i="39"/>
  <c r="K4" i="39"/>
  <c r="L4" i="39"/>
  <c r="M4" i="39"/>
  <c r="N4" i="39"/>
  <c r="O4" i="39"/>
  <c r="P4" i="39"/>
  <c r="Q4" i="39"/>
  <c r="R4" i="39"/>
  <c r="S4" i="39"/>
  <c r="T4" i="39"/>
  <c r="U4" i="39"/>
  <c r="V4" i="39"/>
  <c r="W4" i="39"/>
  <c r="X4" i="39"/>
  <c r="Y4" i="39"/>
  <c r="Z4" i="39"/>
  <c r="B6" i="39"/>
  <c r="C6" i="39"/>
  <c r="AA6" i="39" s="1"/>
  <c r="D6" i="39"/>
  <c r="E6" i="39"/>
  <c r="F6" i="39"/>
  <c r="G6" i="39"/>
  <c r="H6" i="39"/>
  <c r="I6" i="39"/>
  <c r="J6" i="39"/>
  <c r="K6" i="39"/>
  <c r="L6" i="39"/>
  <c r="M6" i="39"/>
  <c r="N6" i="39"/>
  <c r="O6" i="39"/>
  <c r="P6" i="39"/>
  <c r="Q6" i="39"/>
  <c r="R6" i="39"/>
  <c r="S6" i="39"/>
  <c r="T6" i="39"/>
  <c r="U6" i="39"/>
  <c r="V6" i="39"/>
  <c r="W6" i="39"/>
  <c r="X6" i="39"/>
  <c r="Y6" i="39"/>
  <c r="Z6"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J31" i="40"/>
  <c r="L31" i="40"/>
  <c r="B6" i="36"/>
  <c r="C6" i="36"/>
  <c r="D6" i="36"/>
  <c r="E6" i="36"/>
  <c r="F6" i="36"/>
  <c r="G6" i="36"/>
  <c r="H6" i="36"/>
  <c r="I6" i="36"/>
  <c r="J6" i="36"/>
  <c r="K6" i="36"/>
  <c r="L6" i="36"/>
  <c r="M6" i="36"/>
  <c r="N6" i="36"/>
  <c r="O6" i="36"/>
  <c r="P6" i="36"/>
  <c r="Q6" i="36"/>
  <c r="R6" i="36"/>
  <c r="S6" i="36"/>
  <c r="T6" i="36"/>
  <c r="U6" i="36"/>
  <c r="V6" i="36"/>
  <c r="W6" i="36"/>
  <c r="X6" i="36"/>
  <c r="Y6" i="36"/>
  <c r="Z6" i="36"/>
  <c r="B8" i="36"/>
  <c r="C8" i="36"/>
  <c r="D8" i="36"/>
  <c r="E8" i="36"/>
  <c r="F8" i="36"/>
  <c r="G8" i="36"/>
  <c r="H8" i="36"/>
  <c r="I8" i="36"/>
  <c r="J8" i="36"/>
  <c r="K8" i="36"/>
  <c r="L8" i="36"/>
  <c r="M8" i="36"/>
  <c r="N8" i="36"/>
  <c r="O8" i="36"/>
  <c r="P8" i="36"/>
  <c r="Q8" i="36"/>
  <c r="R8" i="36"/>
  <c r="S8" i="36"/>
  <c r="T8" i="36"/>
  <c r="U8" i="36"/>
  <c r="V8" i="36"/>
  <c r="W8" i="36"/>
  <c r="X8" i="36"/>
  <c r="Y8" i="36"/>
  <c r="Z8" i="36"/>
  <c r="B14" i="36"/>
  <c r="C14" i="36"/>
  <c r="D14" i="36"/>
  <c r="E14" i="36"/>
  <c r="F14" i="36"/>
  <c r="G14" i="36"/>
  <c r="H14" i="36"/>
  <c r="I14" i="36"/>
  <c r="J14" i="36"/>
  <c r="K14" i="36"/>
  <c r="L14" i="36"/>
  <c r="M14" i="36"/>
  <c r="N14" i="36"/>
  <c r="O14" i="36"/>
  <c r="P14" i="36"/>
  <c r="Q14" i="36"/>
  <c r="R14" i="36"/>
  <c r="S14" i="36"/>
  <c r="T14" i="36"/>
  <c r="U14" i="36"/>
  <c r="V14" i="36"/>
  <c r="W14" i="36"/>
  <c r="X14" i="36"/>
  <c r="Y14" i="36"/>
  <c r="Z14" i="36"/>
  <c r="A10" i="35"/>
  <c r="B3" i="34"/>
  <c r="C3" i="34"/>
  <c r="D3" i="34"/>
  <c r="E3" i="34"/>
  <c r="F3" i="34"/>
  <c r="G3" i="34"/>
  <c r="H3" i="34"/>
  <c r="I3" i="34"/>
  <c r="J3" i="34"/>
  <c r="K3" i="34"/>
  <c r="L3" i="34"/>
  <c r="M3" i="34"/>
  <c r="N3" i="34"/>
  <c r="O3" i="34"/>
  <c r="P3" i="34"/>
  <c r="Q3" i="34"/>
  <c r="R3" i="34"/>
  <c r="S3" i="34"/>
  <c r="T3" i="34"/>
  <c r="U3" i="34"/>
  <c r="V3" i="34"/>
  <c r="W3" i="34"/>
  <c r="X3" i="34"/>
  <c r="Y3" i="34"/>
  <c r="Z3" i="34"/>
  <c r="B4" i="34"/>
  <c r="C4" i="34"/>
  <c r="D4" i="34"/>
  <c r="E4" i="34"/>
  <c r="F4" i="34"/>
  <c r="G4" i="34"/>
  <c r="H4" i="34"/>
  <c r="I4" i="34"/>
  <c r="J4" i="34"/>
  <c r="K4" i="34"/>
  <c r="L4" i="34"/>
  <c r="M4" i="34"/>
  <c r="N4" i="34"/>
  <c r="O4" i="34"/>
  <c r="P4" i="34"/>
  <c r="Q4" i="34"/>
  <c r="R4" i="34"/>
  <c r="S4" i="34"/>
  <c r="T4" i="34"/>
  <c r="U4" i="34"/>
  <c r="V4" i="34"/>
  <c r="W4" i="34"/>
  <c r="X4" i="34"/>
  <c r="Y4" i="34"/>
  <c r="Z4" i="34"/>
  <c r="B6" i="34"/>
  <c r="C6" i="34"/>
  <c r="D6" i="34"/>
  <c r="E6" i="34"/>
  <c r="F6" i="34"/>
  <c r="G6" i="34"/>
  <c r="H6" i="34"/>
  <c r="I6" i="34"/>
  <c r="J6" i="34"/>
  <c r="K6" i="34"/>
  <c r="L6" i="34"/>
  <c r="M6" i="34"/>
  <c r="N6" i="34"/>
  <c r="O6" i="34"/>
  <c r="P6" i="34"/>
  <c r="Q6" i="34"/>
  <c r="R6" i="34"/>
  <c r="S6" i="34"/>
  <c r="T6" i="34"/>
  <c r="U6" i="34"/>
  <c r="V6" i="34"/>
  <c r="W6" i="34"/>
  <c r="X6" i="34"/>
  <c r="Y6" i="34"/>
  <c r="Z6" i="34"/>
  <c r="B11" i="34"/>
  <c r="C11" i="34"/>
  <c r="D11" i="34"/>
  <c r="E11" i="34"/>
  <c r="F11" i="34"/>
  <c r="G11" i="34"/>
  <c r="H11" i="34"/>
  <c r="I11" i="34"/>
  <c r="J11" i="34"/>
  <c r="K11" i="34"/>
  <c r="L11" i="34"/>
  <c r="M11" i="34"/>
  <c r="N11" i="34"/>
  <c r="O11" i="34"/>
  <c r="P11" i="34"/>
  <c r="Q11" i="34"/>
  <c r="R11" i="34"/>
  <c r="S11" i="34"/>
  <c r="T11" i="34"/>
  <c r="U11" i="34"/>
  <c r="V11" i="34"/>
  <c r="W11" i="34"/>
  <c r="X11" i="34"/>
  <c r="Y11" i="34"/>
  <c r="Z11" i="34"/>
  <c r="B3" i="33"/>
  <c r="C3" i="33"/>
  <c r="D3" i="33"/>
  <c r="E3" i="33"/>
  <c r="F3" i="33"/>
  <c r="G3" i="33"/>
  <c r="H3" i="33"/>
  <c r="I3" i="33"/>
  <c r="J3" i="33"/>
  <c r="K3" i="33"/>
  <c r="L3" i="33"/>
  <c r="M3" i="33"/>
  <c r="N3" i="33"/>
  <c r="O3" i="33"/>
  <c r="P3" i="33"/>
  <c r="Q3" i="33"/>
  <c r="R3" i="33"/>
  <c r="S3" i="33"/>
  <c r="T3" i="33"/>
  <c r="U3" i="33"/>
  <c r="V3" i="33"/>
  <c r="W3" i="33"/>
  <c r="X3" i="33"/>
  <c r="Y3" i="33"/>
  <c r="Z3" i="33"/>
  <c r="B4" i="33"/>
  <c r="C4" i="33"/>
  <c r="D4" i="33"/>
  <c r="AA4" i="33" s="1"/>
  <c r="E4" i="33"/>
  <c r="F4" i="33"/>
  <c r="G4" i="33"/>
  <c r="H4" i="33"/>
  <c r="I4" i="33"/>
  <c r="J4" i="33"/>
  <c r="K4" i="33"/>
  <c r="L4" i="33"/>
  <c r="M4" i="33"/>
  <c r="N4" i="33"/>
  <c r="O4" i="33"/>
  <c r="P4" i="33"/>
  <c r="Q4" i="33"/>
  <c r="R4" i="33"/>
  <c r="S4" i="33"/>
  <c r="T4" i="33"/>
  <c r="U4" i="33"/>
  <c r="V4" i="33"/>
  <c r="W4" i="33"/>
  <c r="X4" i="33"/>
  <c r="Y4" i="33"/>
  <c r="Z4" i="33"/>
  <c r="B6" i="33"/>
  <c r="C6" i="33"/>
  <c r="D6" i="33"/>
  <c r="E6" i="33"/>
  <c r="F6" i="33"/>
  <c r="G6" i="33"/>
  <c r="H6" i="33"/>
  <c r="I6" i="33"/>
  <c r="J6" i="33"/>
  <c r="K6" i="33"/>
  <c r="L6" i="33"/>
  <c r="M6" i="33"/>
  <c r="N6" i="33"/>
  <c r="O6" i="33"/>
  <c r="P6" i="33"/>
  <c r="Q6" i="33"/>
  <c r="R6" i="33"/>
  <c r="S6" i="33"/>
  <c r="T6" i="33"/>
  <c r="U6" i="33"/>
  <c r="V6" i="33"/>
  <c r="W6" i="33"/>
  <c r="X6" i="33"/>
  <c r="Y6" i="33"/>
  <c r="Z6" i="33"/>
  <c r="B11" i="33"/>
  <c r="C11" i="33"/>
  <c r="D11" i="33"/>
  <c r="E11" i="33"/>
  <c r="F11" i="33"/>
  <c r="G11" i="33"/>
  <c r="H11" i="33"/>
  <c r="I11" i="33"/>
  <c r="J11" i="33"/>
  <c r="K11" i="33"/>
  <c r="L11" i="33"/>
  <c r="M11" i="33"/>
  <c r="N11" i="33"/>
  <c r="O11" i="33"/>
  <c r="P11" i="33"/>
  <c r="Q11" i="33"/>
  <c r="R11" i="33"/>
  <c r="S11" i="33"/>
  <c r="T11" i="33"/>
  <c r="U11" i="33"/>
  <c r="V11" i="33"/>
  <c r="W11" i="33"/>
  <c r="X11" i="33"/>
  <c r="Y11" i="33"/>
  <c r="Z11" i="33"/>
  <c r="B3" i="32"/>
  <c r="C3" i="32"/>
  <c r="D3" i="32"/>
  <c r="E3" i="32"/>
  <c r="F3" i="32"/>
  <c r="G3" i="32"/>
  <c r="H3" i="32"/>
  <c r="I3" i="32"/>
  <c r="J3" i="32"/>
  <c r="K3" i="32"/>
  <c r="L3" i="32"/>
  <c r="M3" i="32"/>
  <c r="N3" i="32"/>
  <c r="O3" i="32"/>
  <c r="P3" i="32"/>
  <c r="Q3" i="32"/>
  <c r="R3" i="32"/>
  <c r="S3" i="32"/>
  <c r="T3" i="32"/>
  <c r="U3" i="32"/>
  <c r="V3" i="32"/>
  <c r="W3" i="32"/>
  <c r="X3" i="32"/>
  <c r="Y3" i="32"/>
  <c r="Z3" i="32"/>
  <c r="B4" i="32"/>
  <c r="C4" i="32"/>
  <c r="D4" i="32"/>
  <c r="E4" i="32"/>
  <c r="F4" i="32"/>
  <c r="G4" i="32"/>
  <c r="H4" i="32"/>
  <c r="I4" i="32"/>
  <c r="J4" i="32"/>
  <c r="K4" i="32"/>
  <c r="L4" i="32"/>
  <c r="M4" i="32"/>
  <c r="N4" i="32"/>
  <c r="O4" i="32"/>
  <c r="P4" i="32"/>
  <c r="Q4" i="32"/>
  <c r="R4" i="32"/>
  <c r="S4" i="32"/>
  <c r="T4" i="32"/>
  <c r="U4" i="32"/>
  <c r="V4" i="32"/>
  <c r="W4" i="32"/>
  <c r="X4" i="32"/>
  <c r="Y4" i="32"/>
  <c r="Z4" i="32"/>
  <c r="B6" i="32"/>
  <c r="C6" i="32"/>
  <c r="D6" i="32"/>
  <c r="E6" i="32"/>
  <c r="F6" i="32"/>
  <c r="G6" i="32"/>
  <c r="H6" i="32"/>
  <c r="I6" i="32"/>
  <c r="J6" i="32"/>
  <c r="K6" i="32"/>
  <c r="L6" i="32"/>
  <c r="M6" i="32"/>
  <c r="N6" i="32"/>
  <c r="O6" i="32"/>
  <c r="P6" i="32"/>
  <c r="Q6" i="32"/>
  <c r="R6" i="32"/>
  <c r="S6" i="32"/>
  <c r="T6" i="32"/>
  <c r="U6" i="32"/>
  <c r="V6" i="32"/>
  <c r="W6" i="32"/>
  <c r="X6" i="32"/>
  <c r="Y6" i="32"/>
  <c r="Z6" i="32"/>
  <c r="B11" i="32"/>
  <c r="C11" i="32"/>
  <c r="D11" i="32"/>
  <c r="E11" i="32"/>
  <c r="F11" i="32"/>
  <c r="G11" i="32"/>
  <c r="H11" i="32"/>
  <c r="I11" i="32"/>
  <c r="J11" i="32"/>
  <c r="K11" i="32"/>
  <c r="L11" i="32"/>
  <c r="M11" i="32"/>
  <c r="N11" i="32"/>
  <c r="O11" i="32"/>
  <c r="P11" i="32"/>
  <c r="Q11" i="32"/>
  <c r="R11" i="32"/>
  <c r="S11" i="32"/>
  <c r="T11" i="32"/>
  <c r="U11" i="32"/>
  <c r="V11" i="32"/>
  <c r="W11" i="32"/>
  <c r="X11" i="32"/>
  <c r="Y11" i="32"/>
  <c r="Z11" i="32"/>
  <c r="B22" i="29"/>
  <c r="A1" i="28"/>
  <c r="B1" i="28"/>
  <c r="C1" i="28"/>
  <c r="D1" i="28"/>
  <c r="B2" i="28"/>
  <c r="D2" i="28" s="1"/>
  <c r="C2" i="49" s="1"/>
  <c r="C2" i="28"/>
  <c r="A4" i="28"/>
  <c r="A5" i="28"/>
  <c r="C5" i="28"/>
  <c r="D5" i="28" s="1"/>
  <c r="C5" i="29" s="1"/>
  <c r="D5" i="29" s="1"/>
  <c r="E5" i="29" s="1"/>
  <c r="A6" i="28"/>
  <c r="A12" i="28"/>
  <c r="A14" i="28"/>
  <c r="C14" i="28"/>
  <c r="D14" i="28" s="1"/>
  <c r="C10" i="29" s="1"/>
  <c r="D10" i="29" s="1"/>
  <c r="E10" i="29" s="1"/>
  <c r="A17" i="28"/>
  <c r="A19" i="28"/>
  <c r="A21" i="28"/>
  <c r="A2" i="27"/>
  <c r="A2" i="28" s="1"/>
  <c r="B2" i="27"/>
  <c r="C2" i="27"/>
  <c r="D2" i="27"/>
  <c r="A3" i="27"/>
  <c r="A3" i="28" s="1"/>
  <c r="B3" i="27"/>
  <c r="B3" i="28" s="1"/>
  <c r="C3" i="27"/>
  <c r="C3" i="28" s="1"/>
  <c r="B3" i="29"/>
  <c r="A4" i="27"/>
  <c r="A5" i="27"/>
  <c r="A8" i="27"/>
  <c r="A10" i="27"/>
  <c r="C10" i="27"/>
  <c r="D10" i="27"/>
  <c r="B10" i="29" s="1"/>
  <c r="B3" i="26"/>
  <c r="B4" i="26"/>
  <c r="B6" i="26"/>
  <c r="C5" i="27" s="1"/>
  <c r="D5" i="27" s="1"/>
  <c r="B5" i="29" s="1"/>
  <c r="B8" i="26"/>
  <c r="B9" i="26"/>
  <c r="B11" i="26"/>
  <c r="B13" i="26"/>
  <c r="B14" i="26"/>
  <c r="B15" i="26"/>
  <c r="A13" i="25"/>
  <c r="A14" i="25"/>
  <c r="B7" i="24"/>
  <c r="A13" i="24"/>
  <c r="C13" i="24"/>
  <c r="D13" i="24"/>
  <c r="E13" i="24"/>
  <c r="F13" i="24"/>
  <c r="G13" i="24"/>
  <c r="H13" i="24"/>
  <c r="I13" i="24"/>
  <c r="J13" i="24"/>
  <c r="K13" i="24"/>
  <c r="L13" i="24"/>
  <c r="M13" i="24"/>
  <c r="N13" i="24"/>
  <c r="O13" i="24"/>
  <c r="P13" i="24"/>
  <c r="Q13" i="24"/>
  <c r="R13" i="24"/>
  <c r="S13" i="24"/>
  <c r="T13" i="24"/>
  <c r="U13" i="24"/>
  <c r="V13" i="24"/>
  <c r="W13" i="24"/>
  <c r="X13" i="24"/>
  <c r="Y13" i="24"/>
  <c r="Z13" i="24"/>
  <c r="A14" i="24"/>
  <c r="B6" i="24"/>
  <c r="C3" i="21"/>
  <c r="D3" i="21"/>
  <c r="E3" i="21"/>
  <c r="F3" i="21"/>
  <c r="G3" i="21"/>
  <c r="H3" i="21"/>
  <c r="I3" i="21"/>
  <c r="J3" i="21"/>
  <c r="K3" i="21"/>
  <c r="L3" i="21"/>
  <c r="M3" i="21"/>
  <c r="N3" i="21"/>
  <c r="O3" i="21"/>
  <c r="P3" i="21"/>
  <c r="Q3" i="21"/>
  <c r="R3" i="21"/>
  <c r="S3" i="21"/>
  <c r="T3" i="21"/>
  <c r="U3" i="21"/>
  <c r="V3" i="21"/>
  <c r="W3" i="21"/>
  <c r="X3" i="21"/>
  <c r="Y3" i="21"/>
  <c r="Z3" i="21"/>
  <c r="AA3" i="21"/>
  <c r="B7" i="21"/>
  <c r="D5" i="20"/>
  <c r="E5" i="20"/>
  <c r="F5" i="20"/>
  <c r="G5" i="20"/>
  <c r="H5" i="20"/>
  <c r="I5" i="20"/>
  <c r="J5" i="20"/>
  <c r="K5" i="20"/>
  <c r="L5" i="20"/>
  <c r="M5" i="20"/>
  <c r="N5" i="20"/>
  <c r="O5" i="20"/>
  <c r="P5" i="20"/>
  <c r="Q5" i="20"/>
  <c r="R5" i="20"/>
  <c r="S5" i="20"/>
  <c r="T5" i="20"/>
  <c r="U5" i="20"/>
  <c r="V5" i="20"/>
  <c r="W5" i="20"/>
  <c r="X5" i="20"/>
  <c r="Y5" i="20"/>
  <c r="Z5" i="20"/>
  <c r="AA5" i="20"/>
  <c r="AB5" i="20"/>
  <c r="D12" i="20"/>
  <c r="E12" i="20"/>
  <c r="F12" i="20"/>
  <c r="G12" i="20"/>
  <c r="H12" i="20"/>
  <c r="I12" i="20"/>
  <c r="U13" i="20"/>
  <c r="X13" i="20"/>
  <c r="Y13" i="20"/>
  <c r="Z13" i="20"/>
  <c r="AA13" i="20"/>
  <c r="AC14" i="20"/>
  <c r="C15" i="20"/>
  <c r="AC18" i="20"/>
  <c r="D19" i="20"/>
  <c r="E19" i="20"/>
  <c r="F19" i="20"/>
  <c r="G19" i="20"/>
  <c r="H19" i="20"/>
  <c r="I19" i="20"/>
  <c r="J19" i="20"/>
  <c r="K19" i="20"/>
  <c r="L19" i="20"/>
  <c r="M19" i="20"/>
  <c r="N19" i="20"/>
  <c r="O19" i="20"/>
  <c r="P19" i="20"/>
  <c r="Q19" i="20"/>
  <c r="S19" i="20"/>
  <c r="T19" i="20"/>
  <c r="U19" i="20"/>
  <c r="V19" i="20"/>
  <c r="W19" i="20"/>
  <c r="X19" i="20"/>
  <c r="Y19" i="20"/>
  <c r="Z19" i="20"/>
  <c r="AA19" i="20"/>
  <c r="AB19" i="20"/>
  <c r="AC22" i="20"/>
  <c r="S26" i="20"/>
  <c r="U26" i="20"/>
  <c r="Z26" i="20"/>
  <c r="AA26" i="20"/>
  <c r="B17" i="19"/>
  <c r="B25" i="19"/>
  <c r="C26" i="19"/>
  <c r="D7" i="18"/>
  <c r="D14" i="18" s="1"/>
  <c r="E7" i="18"/>
  <c r="E14" i="18" s="1"/>
  <c r="D8" i="18"/>
  <c r="F8" i="18" s="1"/>
  <c r="E8" i="18"/>
  <c r="D9" i="18"/>
  <c r="E9" i="18"/>
  <c r="D10" i="18"/>
  <c r="E10" i="18"/>
  <c r="F10" i="18"/>
  <c r="D11" i="18"/>
  <c r="F11" i="18" s="1"/>
  <c r="E11" i="18"/>
  <c r="D12" i="18"/>
  <c r="E12" i="18"/>
  <c r="F12" i="18"/>
  <c r="D13" i="18"/>
  <c r="E13" i="18"/>
  <c r="D17" i="18"/>
  <c r="E17" i="18"/>
  <c r="D18" i="18"/>
  <c r="D19" i="18"/>
  <c r="E19" i="18"/>
  <c r="E31" i="18"/>
  <c r="D33" i="18"/>
  <c r="E33" i="18"/>
  <c r="D34" i="18"/>
  <c r="E34" i="18"/>
  <c r="F34" i="18" s="1"/>
  <c r="D36" i="18"/>
  <c r="F36" i="18" s="1"/>
  <c r="F35" i="18" s="1"/>
  <c r="D26" i="17" s="1"/>
  <c r="F26" i="17" s="1"/>
  <c r="E36" i="18"/>
  <c r="D37" i="18"/>
  <c r="E37" i="18"/>
  <c r="F37" i="18"/>
  <c r="D38" i="18"/>
  <c r="F38" i="18" s="1"/>
  <c r="E38" i="18"/>
  <c r="D39" i="18"/>
  <c r="E39" i="18"/>
  <c r="F39" i="18"/>
  <c r="F40" i="18"/>
  <c r="D41" i="18"/>
  <c r="D42" i="18"/>
  <c r="E42" i="18"/>
  <c r="F42" i="18" s="1"/>
  <c r="E43" i="18"/>
  <c r="D44" i="18"/>
  <c r="D43" i="18" s="1"/>
  <c r="E44" i="18"/>
  <c r="D45" i="18"/>
  <c r="F45" i="18" s="1"/>
  <c r="E45" i="18"/>
  <c r="D46" i="18"/>
  <c r="F46" i="18" s="1"/>
  <c r="E46" i="18"/>
  <c r="D48" i="18"/>
  <c r="F48" i="18" s="1"/>
  <c r="E48" i="18"/>
  <c r="D49" i="18"/>
  <c r="E49" i="18"/>
  <c r="D50" i="18"/>
  <c r="E50" i="18"/>
  <c r="D51" i="18"/>
  <c r="E51" i="18"/>
  <c r="D52" i="18"/>
  <c r="F52" i="18" s="1"/>
  <c r="E52" i="18"/>
  <c r="J55" i="18"/>
  <c r="I56" i="18"/>
  <c r="J57" i="18"/>
  <c r="E63" i="18"/>
  <c r="G63" i="18"/>
  <c r="F64" i="18"/>
  <c r="H64" i="18" s="1"/>
  <c r="G64" i="18"/>
  <c r="F65" i="18"/>
  <c r="G65" i="18"/>
  <c r="H65" i="18"/>
  <c r="I65" i="18"/>
  <c r="J65" i="18"/>
  <c r="G66" i="18"/>
  <c r="I66" i="18"/>
  <c r="J66" i="18"/>
  <c r="G67" i="18"/>
  <c r="I67" i="18"/>
  <c r="J67" i="18" s="1"/>
  <c r="C70" i="18"/>
  <c r="D70" i="18"/>
  <c r="E70" i="18"/>
  <c r="D75" i="18"/>
  <c r="E75" i="18"/>
  <c r="C10" i="17"/>
  <c r="C11" i="17"/>
  <c r="C12" i="17"/>
  <c r="C13" i="17"/>
  <c r="E13" i="17"/>
  <c r="E15" i="17" s="1"/>
  <c r="E19" i="17"/>
  <c r="E40" i="17" s="1"/>
  <c r="E42" i="17" s="1"/>
  <c r="E46" i="17" s="1"/>
  <c r="E23" i="17"/>
  <c r="D27" i="17"/>
  <c r="F27" i="17" s="1"/>
  <c r="G27" i="17" s="1"/>
  <c r="H27" i="17"/>
  <c r="D29" i="17"/>
  <c r="F29" i="17"/>
  <c r="G29" i="17"/>
  <c r="H29" i="17" s="1"/>
  <c r="I29" i="17" s="1"/>
  <c r="J29" i="17" s="1"/>
  <c r="K29" i="17" s="1"/>
  <c r="L29" i="17" s="1"/>
  <c r="M29" i="17" s="1"/>
  <c r="N29" i="17" s="1"/>
  <c r="O29" i="17" s="1"/>
  <c r="P29" i="17" s="1"/>
  <c r="Q29" i="17" s="1"/>
  <c r="R29" i="17" s="1"/>
  <c r="S29" i="17" s="1"/>
  <c r="T29" i="17" s="1"/>
  <c r="U29" i="17" s="1"/>
  <c r="V29" i="17" s="1"/>
  <c r="W29" i="17" s="1"/>
  <c r="X29" i="17" s="1"/>
  <c r="Y29" i="17" s="1"/>
  <c r="Z29" i="17" s="1"/>
  <c r="AA29" i="17" s="1"/>
  <c r="AB29" i="17" s="1"/>
  <c r="AC29" i="17" s="1"/>
  <c r="AD29" i="17" s="1"/>
  <c r="E33" i="17"/>
  <c r="AE34" i="17"/>
  <c r="D35" i="17"/>
  <c r="E35" i="17"/>
  <c r="F35" i="17"/>
  <c r="AE35" i="17" s="1"/>
  <c r="G35" i="17"/>
  <c r="H35" i="17"/>
  <c r="I35" i="17"/>
  <c r="J35" i="17"/>
  <c r="K35" i="17"/>
  <c r="L35" i="17"/>
  <c r="M35" i="17"/>
  <c r="N35" i="17"/>
  <c r="O35" i="17"/>
  <c r="P35" i="17"/>
  <c r="Q35" i="17"/>
  <c r="R35" i="17"/>
  <c r="S35" i="17"/>
  <c r="T35" i="17"/>
  <c r="U35" i="17"/>
  <c r="V35" i="17"/>
  <c r="W35" i="17"/>
  <c r="X35" i="17"/>
  <c r="Y35" i="17"/>
  <c r="Z35" i="17"/>
  <c r="AA35" i="17"/>
  <c r="AB35" i="17"/>
  <c r="AC35" i="17"/>
  <c r="AD35" i="17"/>
  <c r="AE36" i="17"/>
  <c r="D37" i="17"/>
  <c r="E37" i="17"/>
  <c r="F37" i="17"/>
  <c r="G37" i="17"/>
  <c r="AE37" i="17" s="1"/>
  <c r="H37" i="17"/>
  <c r="I37" i="17"/>
  <c r="J37" i="17"/>
  <c r="K37" i="17"/>
  <c r="L37" i="17"/>
  <c r="M37" i="17"/>
  <c r="N37" i="17"/>
  <c r="O37" i="17"/>
  <c r="P37" i="17"/>
  <c r="Q37" i="17"/>
  <c r="R37" i="17"/>
  <c r="S37" i="17"/>
  <c r="T37" i="17"/>
  <c r="U37" i="17"/>
  <c r="V37" i="17"/>
  <c r="W37" i="17"/>
  <c r="X37" i="17"/>
  <c r="Y37" i="17"/>
  <c r="Z37" i="17"/>
  <c r="AA37" i="17"/>
  <c r="AB37" i="17"/>
  <c r="AC37" i="17"/>
  <c r="AD37" i="17"/>
  <c r="AE41" i="17"/>
  <c r="AE43" i="17"/>
  <c r="AE45" i="17"/>
  <c r="AE47" i="17"/>
  <c r="G48" i="17"/>
  <c r="H48" i="17"/>
  <c r="I48" i="17" s="1"/>
  <c r="J48" i="17"/>
  <c r="K48" i="17"/>
  <c r="L48" i="17" s="1"/>
  <c r="J12" i="20" s="1"/>
  <c r="U49" i="17"/>
  <c r="S13" i="20" s="1"/>
  <c r="V49" i="17"/>
  <c r="W49" i="17"/>
  <c r="X49" i="17"/>
  <c r="Y49" i="17"/>
  <c r="W26" i="20" s="1"/>
  <c r="Z49" i="17"/>
  <c r="X26" i="20" s="1"/>
  <c r="AA49" i="17"/>
  <c r="Y26" i="20" s="1"/>
  <c r="AB49" i="17"/>
  <c r="AC49" i="17"/>
  <c r="AD49" i="17"/>
  <c r="AE50" i="17"/>
  <c r="AE52" i="17"/>
  <c r="AE54" i="17"/>
  <c r="AE55" i="17"/>
  <c r="AE56"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C10" i="16"/>
  <c r="C4" i="15"/>
  <c r="G9" i="14"/>
  <c r="H9" i="14"/>
  <c r="C11" i="13"/>
  <c r="C63" i="13" s="1"/>
  <c r="C88" i="13" s="1"/>
  <c r="F11" i="13"/>
  <c r="F34" i="13" s="1"/>
  <c r="C12" i="13"/>
  <c r="C13" i="13"/>
  <c r="F13" i="13"/>
  <c r="F5" i="15" s="1"/>
  <c r="C14" i="13"/>
  <c r="F14" i="13"/>
  <c r="F6" i="15" s="1"/>
  <c r="C15" i="13"/>
  <c r="F15" i="13"/>
  <c r="C16" i="13"/>
  <c r="F16" i="13"/>
  <c r="C18" i="13"/>
  <c r="A20" i="13"/>
  <c r="C20" i="13"/>
  <c r="F21" i="13"/>
  <c r="C23" i="13"/>
  <c r="C7" i="19" s="1"/>
  <c r="C24" i="13"/>
  <c r="C8" i="19" s="1"/>
  <c r="C25" i="13"/>
  <c r="C9" i="19" s="1"/>
  <c r="C30" i="13"/>
  <c r="F30" i="13"/>
  <c r="C31" i="13"/>
  <c r="F31" i="13"/>
  <c r="C7" i="15" s="1"/>
  <c r="C11" i="15" s="1"/>
  <c r="C32" i="13"/>
  <c r="F32" i="13"/>
  <c r="A34" i="13"/>
  <c r="D34" i="13"/>
  <c r="D35" i="13"/>
  <c r="J39" i="13"/>
  <c r="C40" i="13"/>
  <c r="F40" i="13"/>
  <c r="C34" i="19" s="1"/>
  <c r="J40" i="13"/>
  <c r="C41" i="13"/>
  <c r="C42" i="13"/>
  <c r="F42" i="13"/>
  <c r="C36" i="19" s="1"/>
  <c r="I44" i="13"/>
  <c r="I45" i="13"/>
  <c r="I46" i="13"/>
  <c r="C47" i="13"/>
  <c r="F47" i="13"/>
  <c r="F49" i="13"/>
  <c r="F50" i="13"/>
  <c r="C53" i="13"/>
  <c r="D53" i="13"/>
  <c r="F53" i="13"/>
  <c r="C54" i="13"/>
  <c r="D54" i="13"/>
  <c r="F54" i="13"/>
  <c r="C55" i="13"/>
  <c r="D55" i="13"/>
  <c r="F55" i="13"/>
  <c r="C56" i="13"/>
  <c r="D56" i="13"/>
  <c r="F56" i="13"/>
  <c r="C61" i="13"/>
  <c r="B63" i="13"/>
  <c r="G67" i="13"/>
  <c r="C70" i="13"/>
  <c r="C71" i="13"/>
  <c r="C75" i="13"/>
  <c r="C77" i="13"/>
  <c r="C78" i="13"/>
  <c r="F78" i="13"/>
  <c r="F79" i="13"/>
  <c r="G79" i="13"/>
  <c r="F92" i="13"/>
  <c r="F93" i="13"/>
  <c r="A19" i="48" l="1"/>
  <c r="C242" i="56"/>
  <c r="C241" i="56"/>
  <c r="C223" i="56"/>
  <c r="C210" i="56"/>
  <c r="C222" i="56"/>
  <c r="C217" i="56"/>
  <c r="C216" i="56"/>
  <c r="E208" i="56"/>
  <c r="C221" i="56"/>
  <c r="E214" i="56"/>
  <c r="C215" i="56"/>
  <c r="D214" i="56"/>
  <c r="C218" i="56"/>
  <c r="D208" i="56"/>
  <c r="C214" i="56"/>
  <c r="C211" i="56"/>
  <c r="C209" i="56"/>
  <c r="C208" i="56"/>
  <c r="C59" i="56"/>
  <c r="A3" i="49"/>
  <c r="C48" i="56"/>
  <c r="C44" i="56"/>
  <c r="C55" i="56"/>
  <c r="C54" i="56"/>
  <c r="C53" i="56"/>
  <c r="C49" i="56"/>
  <c r="D10" i="49"/>
  <c r="E10" i="49" s="1"/>
  <c r="D2" i="49"/>
  <c r="E2" i="49" s="1"/>
  <c r="B62" i="45"/>
  <c r="AE4" i="45"/>
  <c r="AD2" i="45"/>
  <c r="B61" i="45"/>
  <c r="C38" i="44"/>
  <c r="B27" i="45"/>
  <c r="B8" i="45"/>
  <c r="A18" i="47"/>
  <c r="A33" i="48"/>
  <c r="B19" i="49"/>
  <c r="A4" i="49"/>
  <c r="W22" i="47"/>
  <c r="B29" i="45"/>
  <c r="D86" i="44"/>
  <c r="C51" i="44"/>
  <c r="A26" i="49"/>
  <c r="B39" i="45"/>
  <c r="A12" i="50"/>
  <c r="A9" i="50"/>
  <c r="B24" i="45"/>
  <c r="AA1" i="47"/>
  <c r="B23" i="45"/>
  <c r="C28" i="44"/>
  <c r="AC5" i="45"/>
  <c r="A16" i="47"/>
  <c r="A29" i="48"/>
  <c r="A16" i="49"/>
  <c r="B10" i="45"/>
  <c r="C25" i="44"/>
  <c r="C53" i="44"/>
  <c r="A30" i="47"/>
  <c r="A27" i="49"/>
  <c r="B1" i="49"/>
  <c r="C15" i="44"/>
  <c r="B48" i="45"/>
  <c r="C12" i="44"/>
  <c r="B19" i="45"/>
  <c r="A14" i="47"/>
  <c r="A28" i="48"/>
  <c r="A12" i="49"/>
  <c r="B30" i="45"/>
  <c r="C33" i="44"/>
  <c r="B44" i="45"/>
  <c r="B53" i="45"/>
  <c r="C32" i="44"/>
  <c r="A1" i="49"/>
  <c r="C13" i="44"/>
  <c r="A3" i="47"/>
  <c r="B47" i="45"/>
  <c r="B2" i="45"/>
  <c r="W23" i="47"/>
  <c r="A22" i="47"/>
  <c r="A19" i="47"/>
  <c r="B45" i="45"/>
  <c r="C26" i="44"/>
  <c r="C11" i="44"/>
  <c r="A27" i="48"/>
  <c r="A8" i="50"/>
  <c r="A31" i="49"/>
  <c r="B7" i="45"/>
  <c r="C24" i="49"/>
  <c r="D96" i="44"/>
  <c r="A23" i="48"/>
  <c r="B22" i="45"/>
  <c r="B42" i="45"/>
  <c r="C83" i="44"/>
  <c r="B18" i="45"/>
  <c r="A16" i="48"/>
  <c r="A10" i="49"/>
  <c r="C36" i="49"/>
  <c r="B38" i="45"/>
  <c r="E82" i="44"/>
  <c r="C44" i="44"/>
  <c r="B17" i="45"/>
  <c r="A3" i="48"/>
  <c r="A8" i="49"/>
  <c r="B28" i="45"/>
  <c r="A4" i="47"/>
  <c r="C42" i="44"/>
  <c r="C23" i="44"/>
  <c r="B26" i="45"/>
  <c r="B12" i="45"/>
  <c r="A13" i="47"/>
  <c r="AA2" i="48"/>
  <c r="A29" i="47"/>
  <c r="C64" i="44"/>
  <c r="C40" i="44"/>
  <c r="B16" i="45"/>
  <c r="B11" i="45"/>
  <c r="A8" i="47"/>
  <c r="AA1" i="48"/>
  <c r="A37" i="49"/>
  <c r="E38" i="45"/>
  <c r="D93" i="44"/>
  <c r="B36" i="49"/>
  <c r="B9" i="45"/>
  <c r="B43" i="45"/>
  <c r="B52" i="45"/>
  <c r="C86" i="44"/>
  <c r="C30" i="44"/>
  <c r="B21" i="45"/>
  <c r="AC6" i="45"/>
  <c r="A6" i="47"/>
  <c r="A27" i="47"/>
  <c r="A23" i="47"/>
  <c r="C27" i="44"/>
  <c r="AA2" i="47"/>
  <c r="C63" i="44"/>
  <c r="B51" i="45"/>
  <c r="B25" i="45"/>
  <c r="A41" i="49"/>
  <c r="C24" i="44"/>
  <c r="B13" i="45"/>
  <c r="D24" i="49"/>
  <c r="B46" i="45"/>
  <c r="C19" i="49"/>
  <c r="C62" i="44"/>
  <c r="A39" i="49"/>
  <c r="A19" i="49"/>
  <c r="A5" i="49"/>
  <c r="C96" i="44"/>
  <c r="E40" i="45"/>
  <c r="AA12" i="47"/>
  <c r="A22" i="48"/>
  <c r="A25" i="49"/>
  <c r="B20" i="45"/>
  <c r="A7" i="50"/>
  <c r="A15" i="47"/>
  <c r="C60" i="44"/>
  <c r="D85" i="44"/>
  <c r="C14" i="44"/>
  <c r="B40" i="45"/>
  <c r="AA11" i="47"/>
  <c r="A18" i="48"/>
  <c r="E24" i="49"/>
  <c r="B41" i="45"/>
  <c r="C57" i="44"/>
  <c r="C39" i="44"/>
  <c r="A1" i="50"/>
  <c r="D82" i="44"/>
  <c r="B35" i="45"/>
  <c r="A13" i="48"/>
  <c r="B24" i="49"/>
  <c r="I2" i="49"/>
  <c r="D63" i="44"/>
  <c r="C82" i="44"/>
  <c r="C19" i="44"/>
  <c r="AA12" i="48"/>
  <c r="A31" i="48"/>
  <c r="C48" i="44"/>
  <c r="A6" i="50"/>
  <c r="A14" i="48"/>
  <c r="C9" i="44"/>
  <c r="B15" i="45"/>
  <c r="B31" i="45"/>
  <c r="A33" i="47"/>
  <c r="A22" i="49"/>
  <c r="A4" i="50"/>
  <c r="A30" i="48"/>
  <c r="A4" i="48"/>
  <c r="E96" i="44"/>
  <c r="C69" i="44"/>
  <c r="C5" i="44"/>
  <c r="A28" i="47"/>
  <c r="A8" i="48"/>
  <c r="A20" i="49"/>
  <c r="E1" i="49"/>
  <c r="C31" i="44"/>
  <c r="B37" i="45"/>
  <c r="A5" i="48"/>
  <c r="AA11" i="48"/>
  <c r="B14" i="45"/>
  <c r="C66" i="44"/>
  <c r="C49" i="44"/>
  <c r="C29" i="44"/>
  <c r="A7" i="47"/>
  <c r="A7" i="48"/>
  <c r="E19" i="49"/>
  <c r="D1" i="49"/>
  <c r="B33" i="45"/>
  <c r="C65" i="44"/>
  <c r="C46" i="44"/>
  <c r="C16" i="44"/>
  <c r="C2" i="44"/>
  <c r="B6" i="45"/>
  <c r="A26" i="47"/>
  <c r="A6" i="48"/>
  <c r="D19" i="49"/>
  <c r="C1" i="49"/>
  <c r="A33" i="49"/>
  <c r="B34" i="45"/>
  <c r="C97" i="44"/>
  <c r="A34" i="49"/>
  <c r="E15" i="56"/>
  <c r="E40" i="56"/>
  <c r="E64" i="56"/>
  <c r="A5" i="47"/>
  <c r="A15" i="48"/>
  <c r="A19" i="50"/>
  <c r="A18" i="50"/>
  <c r="F13" i="45"/>
  <c r="AA14" i="45"/>
  <c r="AA27" i="45"/>
  <c r="G14" i="45"/>
  <c r="G27" i="45"/>
  <c r="E13" i="45"/>
  <c r="U12" i="45"/>
  <c r="V12" i="45"/>
  <c r="S12" i="45"/>
  <c r="H14" i="45"/>
  <c r="H27" i="45"/>
  <c r="X27" i="45"/>
  <c r="X14" i="45"/>
  <c r="D27" i="45"/>
  <c r="D14" i="45"/>
  <c r="AA7" i="47"/>
  <c r="Y14" i="45"/>
  <c r="Y27" i="45"/>
  <c r="T27" i="45"/>
  <c r="T14" i="45"/>
  <c r="E14" i="45"/>
  <c r="E27" i="45"/>
  <c r="E12" i="45"/>
  <c r="U14" i="45"/>
  <c r="U27" i="45"/>
  <c r="P27" i="45"/>
  <c r="S27" i="45"/>
  <c r="S14" i="45"/>
  <c r="M12" i="45"/>
  <c r="C6" i="47"/>
  <c r="D6" i="47" s="1"/>
  <c r="E6" i="47" s="1"/>
  <c r="F6" i="47" s="1"/>
  <c r="G6" i="47" s="1"/>
  <c r="H6" i="47" s="1"/>
  <c r="I6" i="47" s="1"/>
  <c r="J6" i="47" s="1"/>
  <c r="K6" i="47" s="1"/>
  <c r="D5" i="49"/>
  <c r="E5" i="49" s="1"/>
  <c r="Z14" i="45"/>
  <c r="Z27" i="45"/>
  <c r="F14" i="45"/>
  <c r="F27" i="45"/>
  <c r="A14" i="50"/>
  <c r="A3" i="50"/>
  <c r="A21" i="49"/>
  <c r="A14" i="49"/>
  <c r="A6" i="49"/>
  <c r="A2" i="50"/>
  <c r="A38" i="49"/>
  <c r="AA1" i="50"/>
  <c r="A2" i="49"/>
  <c r="D31" i="40"/>
  <c r="E31" i="40"/>
  <c r="AA4" i="40"/>
  <c r="AA6" i="40"/>
  <c r="K31" i="40"/>
  <c r="AA4" i="39"/>
  <c r="AA11" i="40"/>
  <c r="AA11" i="39"/>
  <c r="AA4" i="34"/>
  <c r="AA3" i="33"/>
  <c r="AA11" i="34"/>
  <c r="AA6" i="34"/>
  <c r="AA6" i="32"/>
  <c r="AA6" i="36"/>
  <c r="AA3" i="34"/>
  <c r="AA4" i="32"/>
  <c r="AA11" i="32"/>
  <c r="AA3" i="32"/>
  <c r="AA8" i="36"/>
  <c r="AA11" i="33"/>
  <c r="AA6" i="33"/>
  <c r="C2" i="29"/>
  <c r="B2" i="29"/>
  <c r="C6" i="24"/>
  <c r="D6" i="24" s="1"/>
  <c r="E6" i="24" s="1"/>
  <c r="F6" i="24" s="1"/>
  <c r="G6" i="24" s="1"/>
  <c r="D3" i="28"/>
  <c r="C7" i="24"/>
  <c r="D7" i="24" s="1"/>
  <c r="E7" i="24" s="1"/>
  <c r="F7" i="24" s="1"/>
  <c r="G7" i="24" s="1"/>
  <c r="H7" i="24" s="1"/>
  <c r="I7" i="24" s="1"/>
  <c r="J7" i="24" s="1"/>
  <c r="K7" i="24" s="1"/>
  <c r="L7" i="24" s="1"/>
  <c r="M7" i="24" s="1"/>
  <c r="N7" i="24" s="1"/>
  <c r="O7" i="24" s="1"/>
  <c r="P7" i="24" s="1"/>
  <c r="Q7" i="24" s="1"/>
  <c r="R7" i="24" s="1"/>
  <c r="S7" i="24" s="1"/>
  <c r="T7" i="24" s="1"/>
  <c r="U7" i="24" s="1"/>
  <c r="V7" i="24" s="1"/>
  <c r="W7" i="24" s="1"/>
  <c r="X7" i="24" s="1"/>
  <c r="Y7" i="24" s="1"/>
  <c r="Z7" i="24" s="1"/>
  <c r="G26" i="17"/>
  <c r="H26" i="17" s="1"/>
  <c r="I26" i="17" s="1"/>
  <c r="J26" i="17" s="1"/>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AE26" i="17"/>
  <c r="C33" i="13"/>
  <c r="C49" i="13"/>
  <c r="F57" i="13"/>
  <c r="G70" i="18" s="1"/>
  <c r="V13" i="20"/>
  <c r="V26" i="20"/>
  <c r="D31" i="18"/>
  <c r="F31" i="18" s="1"/>
  <c r="F80" i="13"/>
  <c r="C17" i="13" s="1"/>
  <c r="AE29" i="17"/>
  <c r="E18" i="18"/>
  <c r="I27" i="17"/>
  <c r="J27" i="17" s="1"/>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T26" i="20"/>
  <c r="T13" i="20"/>
  <c r="F44" i="18"/>
  <c r="F43" i="18" s="1"/>
  <c r="D30" i="17" s="1"/>
  <c r="F30" i="17" s="1"/>
  <c r="E32" i="18"/>
  <c r="AB13" i="20"/>
  <c r="AB26" i="20"/>
  <c r="W13" i="20"/>
  <c r="C80" i="13"/>
  <c r="F9" i="18"/>
  <c r="M48" i="17"/>
  <c r="F75" i="18"/>
  <c r="D39" i="17" s="1"/>
  <c r="F39" i="17" s="1"/>
  <c r="D32" i="18"/>
  <c r="F32" i="18" s="1"/>
  <c r="D25" i="17" s="1"/>
  <c r="F25" i="17" s="1"/>
  <c r="F33" i="18"/>
  <c r="G68" i="18"/>
  <c r="C3" i="29" l="1"/>
  <c r="D3" i="29" s="1"/>
  <c r="E3" i="29" s="1"/>
  <c r="C3" i="49"/>
  <c r="D3" i="49" s="1"/>
  <c r="E3" i="49" s="1"/>
  <c r="AA7" i="24"/>
  <c r="AC12" i="45"/>
  <c r="E42" i="56"/>
  <c r="D19" i="44"/>
  <c r="L6" i="47"/>
  <c r="AC14" i="45"/>
  <c r="AC27" i="45"/>
  <c r="G13" i="45"/>
  <c r="U31" i="40"/>
  <c r="Y31" i="40"/>
  <c r="O31" i="40"/>
  <c r="X31" i="40"/>
  <c r="B27" i="38"/>
  <c r="F9" i="38"/>
  <c r="C17" i="38" s="1"/>
  <c r="B31" i="40"/>
  <c r="S31" i="40"/>
  <c r="I31" i="40"/>
  <c r="Q31" i="40"/>
  <c r="C31" i="40"/>
  <c r="Z31" i="40"/>
  <c r="M31" i="40"/>
  <c r="N31" i="40"/>
  <c r="R31" i="40"/>
  <c r="V31" i="40"/>
  <c r="P31" i="40"/>
  <c r="T31" i="40"/>
  <c r="G31" i="40"/>
  <c r="H31" i="40"/>
  <c r="W31" i="40"/>
  <c r="F31" i="40"/>
  <c r="H6" i="24"/>
  <c r="D2" i="29"/>
  <c r="E2" i="29" s="1"/>
  <c r="AE27" i="17"/>
  <c r="D24" i="17"/>
  <c r="C62" i="13"/>
  <c r="K12" i="20"/>
  <c r="N48" i="17"/>
  <c r="C16" i="14"/>
  <c r="C17" i="14" s="1"/>
  <c r="C50" i="13"/>
  <c r="E41" i="18"/>
  <c r="F41" i="18" s="1"/>
  <c r="D28" i="17" s="1"/>
  <c r="F28" i="17" s="1"/>
  <c r="D63" i="18"/>
  <c r="F63" i="18" s="1"/>
  <c r="C76" i="13"/>
  <c r="G30" i="17"/>
  <c r="H30" i="17" s="1"/>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G25" i="17"/>
  <c r="H25" i="17" s="1"/>
  <c r="I25" i="17" s="1"/>
  <c r="J25" i="17" s="1"/>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G39" i="17"/>
  <c r="H39" i="17" s="1"/>
  <c r="I39" i="17" s="1"/>
  <c r="J39" i="17" s="1"/>
  <c r="K39" i="17" s="1"/>
  <c r="L39" i="17" s="1"/>
  <c r="M39" i="17" s="1"/>
  <c r="N39" i="17" s="1"/>
  <c r="O39" i="17" s="1"/>
  <c r="P39" i="17" s="1"/>
  <c r="Q39" i="17" s="1"/>
  <c r="R39" i="17" s="1"/>
  <c r="S39" i="17" s="1"/>
  <c r="T39" i="17" s="1"/>
  <c r="U39" i="17" s="1"/>
  <c r="V39" i="17" s="1"/>
  <c r="W39" i="17" s="1"/>
  <c r="X39" i="17" s="1"/>
  <c r="Y39" i="17" s="1"/>
  <c r="Z39" i="17" s="1"/>
  <c r="AA39" i="17" s="1"/>
  <c r="AB39" i="17" s="1"/>
  <c r="AC39" i="17" s="1"/>
  <c r="AD39" i="17" s="1"/>
  <c r="E46" i="56" l="1"/>
  <c r="C14" i="38"/>
  <c r="C16" i="38"/>
  <c r="C9" i="38"/>
  <c r="M6" i="47"/>
  <c r="C7" i="38"/>
  <c r="C3" i="38"/>
  <c r="H13" i="45"/>
  <c r="C6" i="38"/>
  <c r="C25" i="38"/>
  <c r="C13" i="38"/>
  <c r="C19" i="38"/>
  <c r="C21" i="38"/>
  <c r="C20" i="38"/>
  <c r="C26" i="38"/>
  <c r="AA31" i="40"/>
  <c r="C2" i="38"/>
  <c r="B28" i="38"/>
  <c r="B29" i="38"/>
  <c r="C23" i="38"/>
  <c r="C22" i="38"/>
  <c r="C24" i="38"/>
  <c r="F10" i="38"/>
  <c r="C10" i="38"/>
  <c r="C12" i="38"/>
  <c r="C5" i="38"/>
  <c r="C11" i="38"/>
  <c r="C4" i="38"/>
  <c r="C8" i="38"/>
  <c r="C15" i="38"/>
  <c r="C18" i="38"/>
  <c r="I6" i="24"/>
  <c r="H63" i="18"/>
  <c r="G28" i="17"/>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F24" i="17"/>
  <c r="AE25" i="17"/>
  <c r="D23" i="20"/>
  <c r="C65" i="13"/>
  <c r="AE30" i="17"/>
  <c r="L12" i="20"/>
  <c r="O48" i="17"/>
  <c r="AE39" i="17"/>
  <c r="R17" i="20"/>
  <c r="R19" i="20" s="1"/>
  <c r="C87" i="13"/>
  <c r="C89" i="13" s="1"/>
  <c r="C81" i="13"/>
  <c r="E51" i="56" l="1"/>
  <c r="N6" i="47"/>
  <c r="I13" i="45"/>
  <c r="C27" i="38"/>
  <c r="J6" i="24"/>
  <c r="G24" i="17"/>
  <c r="M12" i="20"/>
  <c r="P48" i="17"/>
  <c r="AE28" i="17"/>
  <c r="AC23" i="20"/>
  <c r="J13" i="45" l="1"/>
  <c r="O6" i="47"/>
  <c r="K6" i="24"/>
  <c r="N12" i="20"/>
  <c r="Q48" i="17"/>
  <c r="H24" i="17"/>
  <c r="E57" i="56" l="1"/>
  <c r="K13" i="45"/>
  <c r="P6" i="47"/>
  <c r="L6" i="24"/>
  <c r="O12" i="20"/>
  <c r="R48" i="17"/>
  <c r="I24" i="17"/>
  <c r="L13" i="45" l="1"/>
  <c r="Q6" i="47"/>
  <c r="M6" i="24"/>
  <c r="J24" i="17"/>
  <c r="P12" i="20"/>
  <c r="S48" i="17"/>
  <c r="D33" i="44" l="1"/>
  <c r="D40" i="44" s="1"/>
  <c r="D65" i="44" s="1"/>
  <c r="M13" i="45"/>
  <c r="R6" i="47"/>
  <c r="N6" i="24"/>
  <c r="Q12" i="20"/>
  <c r="T48" i="17"/>
  <c r="K24" i="17"/>
  <c r="D11" i="45" l="1"/>
  <c r="S6" i="47"/>
  <c r="N13" i="45"/>
  <c r="O6" i="24"/>
  <c r="R12" i="20"/>
  <c r="U48" i="17"/>
  <c r="L24" i="17"/>
  <c r="E11" i="45" l="1"/>
  <c r="T6" i="47"/>
  <c r="O13" i="45"/>
  <c r="P6" i="24"/>
  <c r="S12" i="20"/>
  <c r="V48" i="17"/>
  <c r="M24" i="17"/>
  <c r="F11" i="45" l="1"/>
  <c r="U6" i="47"/>
  <c r="P13" i="45"/>
  <c r="Q6" i="24"/>
  <c r="W48" i="17"/>
  <c r="T12" i="20"/>
  <c r="N24" i="17"/>
  <c r="G11" i="45" l="1"/>
  <c r="V6" i="47"/>
  <c r="Q13" i="45"/>
  <c r="R6" i="24"/>
  <c r="O24" i="17"/>
  <c r="X48" i="17"/>
  <c r="U12" i="20"/>
  <c r="H11" i="45" l="1"/>
  <c r="R13" i="45"/>
  <c r="W6" i="47"/>
  <c r="S6" i="24"/>
  <c r="P24" i="17"/>
  <c r="Y48" i="17"/>
  <c r="V12" i="20"/>
  <c r="I11" i="45" l="1"/>
  <c r="S13" i="45"/>
  <c r="X6" i="47"/>
  <c r="T6" i="24"/>
  <c r="Z48" i="17"/>
  <c r="W12" i="20"/>
  <c r="Q24" i="17"/>
  <c r="J11" i="45" l="1"/>
  <c r="T13" i="45"/>
  <c r="Y6" i="47"/>
  <c r="U6" i="24"/>
  <c r="AA48" i="17"/>
  <c r="X12" i="20"/>
  <c r="R24" i="17"/>
  <c r="K11" i="45" l="1"/>
  <c r="U13" i="45"/>
  <c r="Z6" i="47"/>
  <c r="V6" i="24"/>
  <c r="Y12" i="20"/>
  <c r="AB48" i="17"/>
  <c r="S24" i="17"/>
  <c r="L11" i="45" l="1"/>
  <c r="V13" i="45"/>
  <c r="AA6" i="47"/>
  <c r="W6" i="24"/>
  <c r="AC48" i="17"/>
  <c r="Z12" i="20"/>
  <c r="T24" i="17"/>
  <c r="M11" i="45" l="1"/>
  <c r="W13" i="45"/>
  <c r="X6" i="24"/>
  <c r="AA12" i="20"/>
  <c r="AD48" i="17"/>
  <c r="U24" i="17"/>
  <c r="N11" i="45" l="1"/>
  <c r="X13" i="45"/>
  <c r="Y6" i="24"/>
  <c r="AB12" i="20"/>
  <c r="AC12" i="20" s="1"/>
  <c r="AE48" i="17"/>
  <c r="V24" i="17"/>
  <c r="O11" i="45" l="1"/>
  <c r="Y13" i="45"/>
  <c r="Z6" i="24"/>
  <c r="W24" i="17"/>
  <c r="P11" i="45" l="1"/>
  <c r="Z13" i="45"/>
  <c r="AA6" i="24"/>
  <c r="X24" i="17"/>
  <c r="Q11" i="45" l="1"/>
  <c r="AA13" i="45"/>
  <c r="Y24" i="17"/>
  <c r="R11" i="45" l="1"/>
  <c r="AB13" i="45"/>
  <c r="AC13" i="45" s="1"/>
  <c r="Z24" i="17"/>
  <c r="S11" i="45" l="1"/>
  <c r="AA24" i="17"/>
  <c r="T11" i="45" l="1"/>
  <c r="AB24" i="17"/>
  <c r="U11" i="45" l="1"/>
  <c r="AC24" i="17"/>
  <c r="V11" i="45" l="1"/>
  <c r="AD24" i="17"/>
  <c r="W11" i="45" l="1"/>
  <c r="AE24" i="17"/>
  <c r="X11" i="45" l="1"/>
  <c r="Y11" i="45" l="1"/>
  <c r="Z11" i="45" l="1"/>
  <c r="AA11" i="45" l="1"/>
  <c r="AB11" i="45" s="1"/>
  <c r="AC11" i="45" s="1"/>
  <c r="A15" i="56" l="1"/>
  <c r="F3" i="11" l="1"/>
  <c r="F4" i="11"/>
  <c r="B21" i="11"/>
  <c r="B22" i="11"/>
  <c r="B4" i="11"/>
  <c r="B5" i="11"/>
  <c r="B6" i="11"/>
  <c r="B7" i="11"/>
  <c r="B8" i="11"/>
  <c r="B9" i="11"/>
  <c r="B10" i="11"/>
  <c r="B11" i="11"/>
  <c r="B3" i="11"/>
  <c r="A22" i="11"/>
  <c r="A21" i="11"/>
  <c r="A20" i="11"/>
  <c r="A14" i="11"/>
  <c r="C11" i="11"/>
  <c r="A11" i="11"/>
  <c r="C10" i="11"/>
  <c r="A10" i="11"/>
  <c r="E9" i="11"/>
  <c r="C9" i="11"/>
  <c r="A9" i="11"/>
  <c r="C8" i="11"/>
  <c r="A8" i="11"/>
  <c r="C7" i="11"/>
  <c r="A7" i="11"/>
  <c r="E6" i="11"/>
  <c r="C6" i="11"/>
  <c r="A6" i="11"/>
  <c r="C5" i="11"/>
  <c r="A5" i="11"/>
  <c r="E4" i="11"/>
  <c r="C4" i="11"/>
  <c r="A4" i="11"/>
  <c r="E3" i="11"/>
  <c r="C3" i="11"/>
  <c r="A3" i="11"/>
  <c r="F2" i="11"/>
  <c r="E2" i="11"/>
  <c r="C2" i="11"/>
  <c r="B2" i="11"/>
  <c r="A2" i="11"/>
  <c r="D72" i="10"/>
  <c r="C72" i="10"/>
  <c r="F68" i="10"/>
  <c r="F67" i="10"/>
  <c r="F66" i="10"/>
  <c r="F65" i="10"/>
  <c r="F61" i="10"/>
  <c r="F60" i="10"/>
  <c r="E68" i="10"/>
  <c r="E67" i="10"/>
  <c r="E66" i="10"/>
  <c r="E65" i="10"/>
  <c r="E61" i="10"/>
  <c r="D60" i="10"/>
  <c r="D51" i="10"/>
  <c r="D49" i="10"/>
  <c r="C50" i="10"/>
  <c r="D46" i="10"/>
  <c r="C46" i="10"/>
  <c r="C45" i="10"/>
  <c r="C44" i="10"/>
  <c r="D43" i="10"/>
  <c r="C43" i="10"/>
  <c r="D42" i="10"/>
  <c r="C42" i="10"/>
  <c r="D40" i="10"/>
  <c r="D39" i="10"/>
  <c r="D38" i="10"/>
  <c r="C40" i="10"/>
  <c r="C39" i="10"/>
  <c r="C38" i="10"/>
  <c r="D36" i="10"/>
  <c r="D34" i="10"/>
  <c r="D33" i="10"/>
  <c r="D32" i="10"/>
  <c r="D31" i="10"/>
  <c r="D30" i="10"/>
  <c r="C36" i="10"/>
  <c r="C35" i="10"/>
  <c r="C34" i="10"/>
  <c r="C33" i="10"/>
  <c r="C32" i="10"/>
  <c r="C31" i="10"/>
  <c r="C30" i="10"/>
  <c r="C28" i="10"/>
  <c r="C27" i="10"/>
  <c r="D28" i="10"/>
  <c r="D27" i="10"/>
  <c r="D25" i="10"/>
  <c r="D18" i="10"/>
  <c r="D16" i="10"/>
  <c r="C18" i="10"/>
  <c r="C17" i="10"/>
  <c r="C16" i="10"/>
  <c r="D10" i="10"/>
  <c r="D9" i="10"/>
  <c r="D8" i="10"/>
  <c r="D7" i="10"/>
  <c r="C10" i="10"/>
  <c r="C9" i="10"/>
  <c r="C8" i="10"/>
  <c r="C7" i="10"/>
  <c r="C6" i="10"/>
  <c r="C5" i="10"/>
  <c r="B72" i="10"/>
  <c r="D71" i="10"/>
  <c r="C71" i="10"/>
  <c r="B68" i="10"/>
  <c r="B67" i="10"/>
  <c r="B66" i="10"/>
  <c r="B65" i="10"/>
  <c r="B61" i="10"/>
  <c r="B60" i="10"/>
  <c r="G59" i="10"/>
  <c r="F59" i="10"/>
  <c r="E59" i="10"/>
  <c r="D59" i="10"/>
  <c r="C59" i="10"/>
  <c r="B59" i="10"/>
  <c r="B56" i="10"/>
  <c r="B53" i="10"/>
  <c r="B51" i="10"/>
  <c r="B50" i="10"/>
  <c r="B49" i="10"/>
  <c r="D48" i="10"/>
  <c r="C48" i="10"/>
  <c r="B48" i="10"/>
  <c r="B46" i="10"/>
  <c r="B45" i="10"/>
  <c r="B44" i="10"/>
  <c r="B43" i="10"/>
  <c r="B42" i="10"/>
  <c r="F41" i="10"/>
  <c r="B41" i="10"/>
  <c r="B40" i="10"/>
  <c r="B39" i="10"/>
  <c r="B38" i="10"/>
  <c r="B37" i="10"/>
  <c r="B36" i="10"/>
  <c r="B35" i="10"/>
  <c r="B34" i="10"/>
  <c r="B33" i="10"/>
  <c r="B32" i="10"/>
  <c r="B31" i="10"/>
  <c r="B30" i="10"/>
  <c r="B29" i="10"/>
  <c r="B28" i="10"/>
  <c r="B27" i="10"/>
  <c r="B26" i="10"/>
  <c r="B25" i="10"/>
  <c r="D24" i="10"/>
  <c r="C24" i="10"/>
  <c r="B24" i="10"/>
  <c r="B18" i="10"/>
  <c r="B17" i="10"/>
  <c r="F16" i="10"/>
  <c r="B16" i="10"/>
  <c r="D15" i="10"/>
  <c r="C15" i="10"/>
  <c r="B15" i="10"/>
  <c r="B10" i="10"/>
  <c r="B9" i="10"/>
  <c r="B8" i="10"/>
  <c r="B7" i="10"/>
  <c r="B6" i="10"/>
  <c r="B5" i="10"/>
  <c r="F4" i="10"/>
  <c r="B4" i="10"/>
  <c r="D3" i="10"/>
  <c r="C3" i="10"/>
  <c r="B3" i="10"/>
  <c r="E40" i="9"/>
  <c r="B40" i="9"/>
  <c r="I32" i="9"/>
  <c r="I31" i="9"/>
  <c r="I28" i="9"/>
  <c r="I27" i="9"/>
  <c r="I26" i="9"/>
  <c r="I25" i="9"/>
  <c r="I24" i="9"/>
  <c r="F31" i="9"/>
  <c r="F30" i="9"/>
  <c r="F27" i="9"/>
  <c r="F24" i="9"/>
  <c r="C30" i="9"/>
  <c r="C29" i="9"/>
  <c r="C28" i="9"/>
  <c r="C27" i="9"/>
  <c r="C25" i="9"/>
  <c r="C21" i="9"/>
  <c r="C22" i="9"/>
  <c r="C23" i="9"/>
  <c r="I20" i="9"/>
  <c r="I19" i="9"/>
  <c r="I16" i="9"/>
  <c r="I13" i="9"/>
  <c r="I11" i="9"/>
  <c r="F13" i="9"/>
  <c r="F14" i="9"/>
  <c r="F15" i="9"/>
  <c r="F16" i="9"/>
  <c r="F18" i="9"/>
  <c r="F19" i="9"/>
  <c r="F20" i="9"/>
  <c r="F11" i="9"/>
  <c r="I6" i="9"/>
  <c r="I5" i="9"/>
  <c r="F8" i="9"/>
  <c r="F7" i="9"/>
  <c r="C16" i="9"/>
  <c r="C12" i="9"/>
  <c r="C13" i="9"/>
  <c r="C14" i="9"/>
  <c r="C11" i="9"/>
  <c r="C8" i="9"/>
  <c r="C7" i="9"/>
  <c r="B5" i="9"/>
  <c r="C2" i="9"/>
  <c r="E3" i="6"/>
  <c r="C2" i="2" s="1"/>
  <c r="B45" i="9"/>
  <c r="B44" i="9"/>
  <c r="C43" i="9"/>
  <c r="B43" i="9"/>
  <c r="E39" i="9"/>
  <c r="B39" i="9"/>
  <c r="E36" i="9"/>
  <c r="B36" i="9"/>
  <c r="B33" i="9"/>
  <c r="H32" i="9"/>
  <c r="E32" i="9"/>
  <c r="B32" i="9"/>
  <c r="H31" i="9"/>
  <c r="E31" i="9"/>
  <c r="I30" i="9"/>
  <c r="H30" i="9"/>
  <c r="E30" i="9"/>
  <c r="B30" i="9"/>
  <c r="E29" i="9"/>
  <c r="B29" i="9"/>
  <c r="H28" i="9"/>
  <c r="B28" i="9"/>
  <c r="H27" i="9"/>
  <c r="E27" i="9"/>
  <c r="B27" i="9"/>
  <c r="H26" i="9"/>
  <c r="F26" i="9"/>
  <c r="E26" i="9"/>
  <c r="B26" i="9"/>
  <c r="H25" i="9"/>
  <c r="B25" i="9"/>
  <c r="H24" i="9"/>
  <c r="E24" i="9"/>
  <c r="B24" i="9"/>
  <c r="I23" i="9"/>
  <c r="H23" i="9"/>
  <c r="E23" i="9"/>
  <c r="B23" i="9"/>
  <c r="E22" i="9"/>
  <c r="B22" i="9"/>
  <c r="B21" i="9"/>
  <c r="H20" i="9"/>
  <c r="E20" i="9"/>
  <c r="B20" i="9"/>
  <c r="H19" i="9"/>
  <c r="E19" i="9"/>
  <c r="B19" i="9"/>
  <c r="H18" i="9"/>
  <c r="E18" i="9"/>
  <c r="H16" i="9"/>
  <c r="E16" i="9"/>
  <c r="B16" i="9"/>
  <c r="H15" i="9"/>
  <c r="E15" i="9"/>
  <c r="B15" i="9"/>
  <c r="H14" i="9"/>
  <c r="E14" i="9"/>
  <c r="B14" i="9"/>
  <c r="H13" i="9"/>
  <c r="E13" i="9"/>
  <c r="B13" i="9"/>
  <c r="H12" i="9"/>
  <c r="B12" i="9"/>
  <c r="H11" i="9"/>
  <c r="E11" i="9"/>
  <c r="B11" i="9"/>
  <c r="H10" i="9"/>
  <c r="E10" i="9"/>
  <c r="B10" i="9"/>
  <c r="E8" i="9"/>
  <c r="B8" i="9"/>
  <c r="E7" i="9"/>
  <c r="B7" i="9"/>
  <c r="H6" i="9"/>
  <c r="E6" i="9"/>
  <c r="B6" i="9"/>
  <c r="H5" i="9"/>
  <c r="E5" i="9"/>
  <c r="H4" i="9"/>
  <c r="E4" i="9"/>
  <c r="B3" i="9"/>
  <c r="F6" i="31" l="1"/>
  <c r="F6" i="38"/>
  <c r="F3" i="31"/>
  <c r="F3" i="38"/>
  <c r="E192" i="6"/>
  <c r="E191" i="6"/>
  <c r="E190" i="6"/>
  <c r="AZ5" i="8"/>
  <c r="AZ4" i="8"/>
  <c r="AZ3" i="8"/>
  <c r="E189" i="6"/>
  <c r="E188" i="6"/>
  <c r="E9" i="5"/>
  <c r="B13" i="31" l="1"/>
  <c r="M51" i="33" s="1"/>
  <c r="M55" i="33" s="1"/>
  <c r="B23" i="31"/>
  <c r="W51" i="33" s="1"/>
  <c r="W55" i="33" s="1"/>
  <c r="B24" i="31"/>
  <c r="X51" i="33" s="1"/>
  <c r="X55" i="33" s="1"/>
  <c r="B6" i="31"/>
  <c r="F51" i="33" s="1"/>
  <c r="F55" i="33" s="1"/>
  <c r="B8" i="31"/>
  <c r="H51" i="33" s="1"/>
  <c r="H55" i="33" s="1"/>
  <c r="B14" i="31"/>
  <c r="N51" i="33" s="1"/>
  <c r="N55" i="33" s="1"/>
  <c r="B15" i="31"/>
  <c r="O51" i="33" s="1"/>
  <c r="O55" i="33" s="1"/>
  <c r="B22" i="31"/>
  <c r="V51" i="33" s="1"/>
  <c r="V55" i="33" s="1"/>
  <c r="B3" i="31"/>
  <c r="C51" i="33" s="1"/>
  <c r="C55" i="33" s="1"/>
  <c r="B4" i="31"/>
  <c r="D51" i="33" s="1"/>
  <c r="D55" i="33" s="1"/>
  <c r="B25" i="31"/>
  <c r="Y51" i="33" s="1"/>
  <c r="Y55" i="33" s="1"/>
  <c r="B16" i="31"/>
  <c r="P51" i="33" s="1"/>
  <c r="P55" i="33" s="1"/>
  <c r="B2" i="31"/>
  <c r="B5" i="31"/>
  <c r="E51" i="33" s="1"/>
  <c r="E55" i="33" s="1"/>
  <c r="B17" i="31"/>
  <c r="Q51" i="33" s="1"/>
  <c r="Q55" i="33" s="1"/>
  <c r="B18" i="31"/>
  <c r="R51" i="33" s="1"/>
  <c r="R55" i="33" s="1"/>
  <c r="B7" i="31"/>
  <c r="G51" i="33" s="1"/>
  <c r="G55" i="33" s="1"/>
  <c r="B19" i="31"/>
  <c r="S51" i="33" s="1"/>
  <c r="S55" i="33" s="1"/>
  <c r="B20" i="31"/>
  <c r="T51" i="33" s="1"/>
  <c r="T55" i="33" s="1"/>
  <c r="B21" i="31"/>
  <c r="U51" i="33" s="1"/>
  <c r="U55" i="33" s="1"/>
  <c r="B26" i="31"/>
  <c r="Z51" i="33" s="1"/>
  <c r="Z55" i="33" s="1"/>
  <c r="B9" i="31"/>
  <c r="I51" i="33" s="1"/>
  <c r="I55" i="33" s="1"/>
  <c r="B10" i="31"/>
  <c r="J51" i="33" s="1"/>
  <c r="J55" i="33" s="1"/>
  <c r="B11" i="31"/>
  <c r="K51" i="33" s="1"/>
  <c r="K55" i="33" s="1"/>
  <c r="B12" i="31"/>
  <c r="L51" i="33" s="1"/>
  <c r="L55" i="33" s="1"/>
  <c r="E10" i="11"/>
  <c r="E14" i="26" s="1"/>
  <c r="C14" i="27" s="1"/>
  <c r="C19" i="28" s="1"/>
  <c r="F2" i="5"/>
  <c r="E6" i="5"/>
  <c r="A20" i="5"/>
  <c r="A21" i="5"/>
  <c r="A22" i="5"/>
  <c r="E183" i="6"/>
  <c r="E158" i="6"/>
  <c r="E159" i="6"/>
  <c r="E160" i="6"/>
  <c r="AV5" i="8"/>
  <c r="AV4" i="8"/>
  <c r="AV3" i="8"/>
  <c r="C45" i="2" a="1"/>
  <c r="C45" i="2" s="1"/>
  <c r="C44" i="2" a="1"/>
  <c r="C44" i="2" s="1"/>
  <c r="E182" i="6"/>
  <c r="E181" i="6"/>
  <c r="E180" i="6"/>
  <c r="E179" i="6"/>
  <c r="E178" i="6"/>
  <c r="E177" i="6"/>
  <c r="E176" i="6"/>
  <c r="E175" i="6"/>
  <c r="E174" i="6"/>
  <c r="E173" i="6"/>
  <c r="E172" i="6"/>
  <c r="E171" i="6"/>
  <c r="E170" i="6"/>
  <c r="E169" i="6"/>
  <c r="E168" i="6"/>
  <c r="E167" i="6"/>
  <c r="E166" i="6"/>
  <c r="B72" i="3" s="1"/>
  <c r="E165" i="6"/>
  <c r="G59" i="3" s="1"/>
  <c r="E164" i="6"/>
  <c r="F59" i="3" s="1"/>
  <c r="E163" i="6"/>
  <c r="E59" i="3" s="1"/>
  <c r="E162" i="6"/>
  <c r="D59" i="3" s="1"/>
  <c r="E161" i="6"/>
  <c r="C59" i="3" s="1"/>
  <c r="E157" i="6"/>
  <c r="B45" i="2" s="1"/>
  <c r="E156" i="6"/>
  <c r="B44" i="2" s="1"/>
  <c r="E155" i="6"/>
  <c r="C43" i="2" s="1"/>
  <c r="E154" i="6"/>
  <c r="B43" i="2" s="1"/>
  <c r="E153" i="6"/>
  <c r="B68" i="3" s="1"/>
  <c r="E152" i="6"/>
  <c r="B67" i="3" s="1"/>
  <c r="E151" i="6"/>
  <c r="B66" i="3" s="1"/>
  <c r="E150" i="6"/>
  <c r="B65" i="3" s="1"/>
  <c r="E149" i="6"/>
  <c r="B61" i="3" s="1"/>
  <c r="E148" i="6"/>
  <c r="B60" i="3" s="1"/>
  <c r="E147" i="6"/>
  <c r="B59" i="3" s="1"/>
  <c r="E146" i="6"/>
  <c r="B56" i="3" s="1"/>
  <c r="E145" i="6"/>
  <c r="B53" i="3" s="1"/>
  <c r="E144" i="6"/>
  <c r="D48" i="3" s="1"/>
  <c r="E143" i="6"/>
  <c r="C48" i="3" s="1"/>
  <c r="E142" i="6"/>
  <c r="B51" i="3" s="1"/>
  <c r="E141" i="6"/>
  <c r="B50" i="3" s="1"/>
  <c r="E140" i="6"/>
  <c r="B49" i="3" s="1"/>
  <c r="E136" i="6"/>
  <c r="AH3" i="8" s="1"/>
  <c r="E139" i="6"/>
  <c r="B48" i="3" s="1"/>
  <c r="E138" i="6"/>
  <c r="E39" i="2" s="1"/>
  <c r="E137" i="6"/>
  <c r="B39" i="2" s="1"/>
  <c r="E135" i="6"/>
  <c r="AH4" i="8" s="1"/>
  <c r="E134" i="6"/>
  <c r="E36" i="2" s="1"/>
  <c r="E133" i="6"/>
  <c r="B36" i="2" s="1"/>
  <c r="E132" i="6"/>
  <c r="B33" i="2" s="1"/>
  <c r="E131" i="6"/>
  <c r="B32" i="2" s="1"/>
  <c r="E130" i="6"/>
  <c r="H32" i="2" s="1"/>
  <c r="E129" i="6"/>
  <c r="H31" i="2" s="1"/>
  <c r="E128" i="6"/>
  <c r="I30" i="2" s="1"/>
  <c r="E127" i="6"/>
  <c r="H30" i="2" s="1"/>
  <c r="E126" i="6"/>
  <c r="F41" i="3" s="1"/>
  <c r="E122" i="6"/>
  <c r="B43" i="3" s="1"/>
  <c r="E121" i="6"/>
  <c r="B42" i="3" s="1"/>
  <c r="E120" i="6"/>
  <c r="B41" i="3" s="1"/>
  <c r="E119" i="6"/>
  <c r="B40" i="3" s="1"/>
  <c r="E118" i="6"/>
  <c r="B39" i="3" s="1"/>
  <c r="E117" i="6"/>
  <c r="B38" i="3" s="1"/>
  <c r="E116" i="6"/>
  <c r="B37" i="3" s="1"/>
  <c r="E115" i="6"/>
  <c r="B36" i="3" s="1"/>
  <c r="E114" i="6"/>
  <c r="B35" i="3" s="1"/>
  <c r="E113" i="6"/>
  <c r="B34" i="3" s="1"/>
  <c r="E123" i="6"/>
  <c r="B44" i="3" s="1"/>
  <c r="E124" i="6"/>
  <c r="B45" i="3" s="1"/>
  <c r="E125" i="6"/>
  <c r="B46" i="3" s="1"/>
  <c r="E112" i="6"/>
  <c r="H28" i="2" s="1"/>
  <c r="E111" i="6"/>
  <c r="H27" i="2" s="1"/>
  <c r="E110" i="6"/>
  <c r="H26" i="2" s="1"/>
  <c r="E109" i="6"/>
  <c r="H25" i="2" s="1"/>
  <c r="E108" i="6"/>
  <c r="H24" i="2" s="1"/>
  <c r="E107" i="6"/>
  <c r="I23" i="2" s="1"/>
  <c r="E106" i="6"/>
  <c r="H23" i="2" s="1"/>
  <c r="E104" i="6"/>
  <c r="B32" i="3" s="1"/>
  <c r="E103" i="6"/>
  <c r="B31" i="3" s="1"/>
  <c r="E102" i="6"/>
  <c r="B30" i="3" s="1"/>
  <c r="E101" i="6"/>
  <c r="B29" i="3" s="1"/>
  <c r="E100" i="6"/>
  <c r="B28" i="3" s="1"/>
  <c r="E99" i="6"/>
  <c r="B27" i="3" s="1"/>
  <c r="E98" i="6"/>
  <c r="B26" i="3" s="1"/>
  <c r="E105" i="6"/>
  <c r="B33" i="3" s="1"/>
  <c r="E97" i="6"/>
  <c r="B25" i="3" s="1"/>
  <c r="E96" i="6"/>
  <c r="B24" i="3" s="1"/>
  <c r="D15" i="3"/>
  <c r="E94" i="6"/>
  <c r="B30" i="2" s="1"/>
  <c r="E93" i="6"/>
  <c r="B29" i="2" s="1"/>
  <c r="E92" i="6"/>
  <c r="B28" i="2" s="1"/>
  <c r="E91" i="6"/>
  <c r="B27" i="2" s="1"/>
  <c r="E90" i="6"/>
  <c r="B26" i="2" s="1"/>
  <c r="E89" i="6"/>
  <c r="B25" i="2" s="1"/>
  <c r="E88" i="6"/>
  <c r="E87" i="6"/>
  <c r="V3" i="8"/>
  <c r="V4" i="8"/>
  <c r="E82" i="6"/>
  <c r="B18" i="3" s="1"/>
  <c r="E81" i="6"/>
  <c r="B17" i="3" s="1"/>
  <c r="E80" i="6"/>
  <c r="B16" i="3" s="1"/>
  <c r="E79" i="6"/>
  <c r="B15" i="3" s="1"/>
  <c r="E83" i="6"/>
  <c r="B21" i="2" s="1"/>
  <c r="E86" i="6"/>
  <c r="B24" i="2" s="1"/>
  <c r="E85" i="6"/>
  <c r="B23" i="2" s="1"/>
  <c r="E84" i="6"/>
  <c r="B22" i="2" s="1"/>
  <c r="E78" i="6"/>
  <c r="B20" i="2" s="1"/>
  <c r="E77" i="6"/>
  <c r="B19" i="2" s="1"/>
  <c r="E76" i="6"/>
  <c r="B10" i="3" s="1"/>
  <c r="E75" i="6"/>
  <c r="B9" i="3" s="1"/>
  <c r="E74" i="6"/>
  <c r="B8" i="3" s="1"/>
  <c r="E73" i="6"/>
  <c r="B7" i="3" s="1"/>
  <c r="E72" i="6"/>
  <c r="B6" i="3" s="1"/>
  <c r="E71" i="6"/>
  <c r="E32" i="2" s="1"/>
  <c r="E69" i="6"/>
  <c r="E30" i="2" s="1"/>
  <c r="E70" i="6"/>
  <c r="E31" i="2" s="1"/>
  <c r="E68" i="6"/>
  <c r="E29" i="2" s="1"/>
  <c r="E67" i="6"/>
  <c r="E27" i="2" s="1"/>
  <c r="E66" i="6"/>
  <c r="F26" i="2" s="1"/>
  <c r="E65" i="6"/>
  <c r="E26" i="2" s="1"/>
  <c r="E2"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16" i="2" s="1"/>
  <c r="E37" i="6"/>
  <c r="E38" i="6"/>
  <c r="E39" i="6"/>
  <c r="E40" i="6"/>
  <c r="E41" i="6"/>
  <c r="E42" i="6"/>
  <c r="E43" i="6"/>
  <c r="E44" i="6"/>
  <c r="E45" i="6"/>
  <c r="E46" i="6"/>
  <c r="E47" i="6"/>
  <c r="E48" i="6"/>
  <c r="E49" i="6"/>
  <c r="B3" i="3" s="1"/>
  <c r="E50" i="6"/>
  <c r="E51" i="6"/>
  <c r="E52" i="6"/>
  <c r="E53" i="6"/>
  <c r="E54" i="6"/>
  <c r="E55" i="6"/>
  <c r="E57" i="6"/>
  <c r="E58" i="6"/>
  <c r="E59" i="6"/>
  <c r="E60" i="6"/>
  <c r="E61" i="6"/>
  <c r="E62" i="6"/>
  <c r="E22" i="2" s="1"/>
  <c r="E63" i="6"/>
  <c r="E23" i="2" s="1"/>
  <c r="E64" i="6"/>
  <c r="E24" i="2" s="1"/>
  <c r="B5" i="3"/>
  <c r="B4" i="3"/>
  <c r="H20" i="2"/>
  <c r="H19" i="2"/>
  <c r="C3" i="3"/>
  <c r="H18" i="2"/>
  <c r="F16" i="3"/>
  <c r="F4" i="3"/>
  <c r="P5" i="8"/>
  <c r="P4" i="8"/>
  <c r="P3" i="8"/>
  <c r="N4" i="8"/>
  <c r="N3" i="8"/>
  <c r="F9" i="31" l="1"/>
  <c r="F10" i="31" s="1"/>
  <c r="B27" i="31"/>
  <c r="B51" i="33"/>
  <c r="F5" i="10"/>
  <c r="E67" i="13" s="1"/>
  <c r="D26" i="18" s="1"/>
  <c r="F17" i="10"/>
  <c r="E61" i="13" s="1"/>
  <c r="A5" i="5"/>
  <c r="A6" i="5"/>
  <c r="A7" i="5"/>
  <c r="A8" i="5"/>
  <c r="A9" i="5"/>
  <c r="A15" i="11"/>
  <c r="A10" i="5"/>
  <c r="A16" i="11"/>
  <c r="A11" i="5"/>
  <c r="A17" i="11"/>
  <c r="B2" i="5"/>
  <c r="C2" i="5"/>
  <c r="E2" i="5"/>
  <c r="D71" i="3"/>
  <c r="D24" i="3"/>
  <c r="D3" i="3"/>
  <c r="C71" i="3"/>
  <c r="C24" i="3"/>
  <c r="C15" i="3"/>
  <c r="AX4" i="8"/>
  <c r="AT4" i="8"/>
  <c r="AR4" i="8"/>
  <c r="AP4" i="8"/>
  <c r="AN4" i="8"/>
  <c r="AL4" i="8"/>
  <c r="AJ4" i="8"/>
  <c r="AF4" i="8"/>
  <c r="AD4" i="8"/>
  <c r="AB4" i="8"/>
  <c r="Z4" i="8"/>
  <c r="X4" i="8"/>
  <c r="T4" i="8"/>
  <c r="R4" i="8"/>
  <c r="AX3" i="8"/>
  <c r="AT3" i="8"/>
  <c r="AR3" i="8"/>
  <c r="AP3" i="8"/>
  <c r="AN3" i="8"/>
  <c r="AL3" i="8"/>
  <c r="AJ3" i="8"/>
  <c r="AF3" i="8"/>
  <c r="AD3" i="8"/>
  <c r="AB3" i="8"/>
  <c r="Z3" i="8"/>
  <c r="X3" i="8"/>
  <c r="T3" i="8"/>
  <c r="R3" i="8"/>
  <c r="A14" i="5"/>
  <c r="A2" i="5"/>
  <c r="E3" i="5"/>
  <c r="A3" i="5"/>
  <c r="E4" i="5"/>
  <c r="A4" i="5"/>
  <c r="C4" i="5"/>
  <c r="C3" i="5"/>
  <c r="C8" i="5"/>
  <c r="C5" i="5"/>
  <c r="C7" i="5"/>
  <c r="C6" i="5"/>
  <c r="C11" i="5"/>
  <c r="C10" i="5"/>
  <c r="C9" i="5"/>
  <c r="E37" i="9"/>
  <c r="J83" i="13" s="1"/>
  <c r="B37" i="9"/>
  <c r="H83" i="13" s="1"/>
  <c r="H86" i="13" s="1"/>
  <c r="C24" i="9"/>
  <c r="E74" i="13" s="1"/>
  <c r="H16" i="2"/>
  <c r="I15" i="2"/>
  <c r="I15" i="9" s="1"/>
  <c r="H15" i="2"/>
  <c r="L4" i="8"/>
  <c r="L3" i="8"/>
  <c r="H14" i="2"/>
  <c r="H13" i="2"/>
  <c r="H12" i="2"/>
  <c r="J4" i="8"/>
  <c r="J3" i="8"/>
  <c r="H11" i="2"/>
  <c r="H10" i="2"/>
  <c r="E10" i="2"/>
  <c r="E20" i="2"/>
  <c r="E19" i="2"/>
  <c r="E18" i="2"/>
  <c r="E15" i="2"/>
  <c r="E14" i="2"/>
  <c r="E13" i="2"/>
  <c r="E11" i="2"/>
  <c r="B16" i="2"/>
  <c r="B15" i="2"/>
  <c r="H4" i="8"/>
  <c r="H3" i="8"/>
  <c r="B14" i="2"/>
  <c r="B13" i="2"/>
  <c r="B12" i="2"/>
  <c r="B11" i="2"/>
  <c r="B10" i="2"/>
  <c r="H6" i="2"/>
  <c r="H5" i="2"/>
  <c r="H4" i="2"/>
  <c r="G65" i="10" l="1"/>
  <c r="E53" i="13" s="1"/>
  <c r="E7" i="11"/>
  <c r="E9" i="26" s="1"/>
  <c r="C8" i="27" s="1"/>
  <c r="C12" i="28" s="1"/>
  <c r="AA51" i="33"/>
  <c r="B55" i="33"/>
  <c r="B63" i="45"/>
  <c r="I52" i="13"/>
  <c r="J86" i="13"/>
  <c r="G53" i="13"/>
  <c r="D23" i="18"/>
  <c r="F7" i="18"/>
  <c r="F13" i="18"/>
  <c r="D18" i="17" s="1"/>
  <c r="F18" i="17" s="1"/>
  <c r="C28" i="13"/>
  <c r="F32" i="9"/>
  <c r="C96" i="13" s="1"/>
  <c r="B57" i="10"/>
  <c r="C94" i="13" s="1"/>
  <c r="B34" i="9"/>
  <c r="I12" i="9"/>
  <c r="G61" i="13" s="1"/>
  <c r="G68" i="10"/>
  <c r="E56" i="13" s="1"/>
  <c r="G56" i="13" s="1"/>
  <c r="G60" i="10"/>
  <c r="I14" i="9"/>
  <c r="G70" i="13" s="1"/>
  <c r="C74" i="13" s="1"/>
  <c r="F23" i="9"/>
  <c r="E64" i="13" s="1"/>
  <c r="G61" i="10"/>
  <c r="I64" i="18" s="1"/>
  <c r="J64" i="18" s="1"/>
  <c r="C26" i="9"/>
  <c r="E70" i="13" s="1"/>
  <c r="C29" i="13" s="1"/>
  <c r="G66" i="10"/>
  <c r="E54" i="13" s="1"/>
  <c r="G54" i="13" s="1"/>
  <c r="F42" i="10"/>
  <c r="G64" i="13" s="1"/>
  <c r="F49" i="18" s="1" a="1"/>
  <c r="F49" i="18" s="1"/>
  <c r="G67" i="10"/>
  <c r="E55" i="13" s="1"/>
  <c r="G55" i="13" s="1"/>
  <c r="B54" i="10"/>
  <c r="G73" i="13" s="1"/>
  <c r="F55" i="18" s="1"/>
  <c r="C15" i="9"/>
  <c r="C36" i="13" s="1"/>
  <c r="I63" i="18" s="1"/>
  <c r="J63" i="18" s="1"/>
  <c r="F6" i="8"/>
  <c r="F5" i="8"/>
  <c r="F4" i="8"/>
  <c r="F3" i="8"/>
  <c r="E8" i="2"/>
  <c r="E7" i="2"/>
  <c r="E6" i="2"/>
  <c r="E5" i="2"/>
  <c r="E4" i="2"/>
  <c r="B3" i="2"/>
  <c r="B3" i="8"/>
  <c r="B4" i="8"/>
  <c r="B5" i="8"/>
  <c r="D3" i="8"/>
  <c r="B5" i="2"/>
  <c r="AA55" i="33" l="1"/>
  <c r="C2" i="31" s="1"/>
  <c r="D9" i="45"/>
  <c r="D28" i="45"/>
  <c r="J68" i="18"/>
  <c r="E57" i="13"/>
  <c r="F70" i="18" s="1"/>
  <c r="G57" i="13"/>
  <c r="H70" i="18" s="1"/>
  <c r="C27" i="19"/>
  <c r="C34" i="33"/>
  <c r="G18" i="17"/>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F20" i="18"/>
  <c r="F19" i="18"/>
  <c r="D22" i="17" s="1"/>
  <c r="F22" i="17" s="1"/>
  <c r="F18" i="18"/>
  <c r="D21" i="17" s="1"/>
  <c r="F21" i="17" s="1"/>
  <c r="F17" i="18"/>
  <c r="D20" i="17" s="1"/>
  <c r="C46" i="45"/>
  <c r="B21" i="46"/>
  <c r="C45" i="20"/>
  <c r="B21" i="21"/>
  <c r="Y14" i="17"/>
  <c r="O14" i="17"/>
  <c r="K14" i="17"/>
  <c r="AA14" i="17"/>
  <c r="V14" i="17"/>
  <c r="U14" i="17"/>
  <c r="G14" i="17"/>
  <c r="L14" i="17"/>
  <c r="F14" i="17"/>
  <c r="AC14" i="17"/>
  <c r="Z14" i="17"/>
  <c r="W14" i="17"/>
  <c r="AB14" i="17"/>
  <c r="P14" i="17"/>
  <c r="D14" i="17"/>
  <c r="M14" i="17"/>
  <c r="S14" i="17"/>
  <c r="I14" i="17"/>
  <c r="J14" i="17"/>
  <c r="H14" i="17"/>
  <c r="AD14" i="17"/>
  <c r="N14" i="17"/>
  <c r="T14" i="17"/>
  <c r="R14" i="17"/>
  <c r="X14" i="17"/>
  <c r="Q14" i="17"/>
  <c r="F85" i="56"/>
  <c r="F86" i="56" s="1"/>
  <c r="E65" i="56"/>
  <c r="D17" i="17"/>
  <c r="F14" i="18"/>
  <c r="C53" i="45"/>
  <c r="B26" i="46"/>
  <c r="C83" i="13"/>
  <c r="B26" i="21"/>
  <c r="C52" i="20"/>
  <c r="F50" i="18" a="1"/>
  <c r="F50" i="18" s="1"/>
  <c r="F51" i="18" a="1"/>
  <c r="F51" i="18" s="1"/>
  <c r="C79" i="13"/>
  <c r="I9" i="45"/>
  <c r="J9" i="45"/>
  <c r="E9" i="45"/>
  <c r="G9" i="45"/>
  <c r="K9" i="45"/>
  <c r="E40" i="20"/>
  <c r="Z9" i="45"/>
  <c r="L9" i="45"/>
  <c r="Q9" i="45"/>
  <c r="V9" i="45"/>
  <c r="W9" i="45"/>
  <c r="AB9" i="45"/>
  <c r="M9" i="45"/>
  <c r="N9" i="45"/>
  <c r="U9" i="45"/>
  <c r="O9" i="45"/>
  <c r="P9" i="45"/>
  <c r="Y9" i="45"/>
  <c r="F9" i="45"/>
  <c r="AA9" i="45"/>
  <c r="H9" i="45"/>
  <c r="R9" i="45"/>
  <c r="X9" i="45"/>
  <c r="S9" i="45"/>
  <c r="T9" i="45"/>
  <c r="B34" i="29"/>
  <c r="D44" i="17"/>
  <c r="F44" i="17" s="1"/>
  <c r="B14" i="19"/>
  <c r="G54" i="33"/>
  <c r="H54" i="33"/>
  <c r="U54" i="33"/>
  <c r="Q54" i="33"/>
  <c r="O54" i="33"/>
  <c r="I54" i="33"/>
  <c r="Z54" i="33"/>
  <c r="K54" i="33"/>
  <c r="C54" i="33"/>
  <c r="E54" i="33"/>
  <c r="R54" i="33"/>
  <c r="J54" i="33"/>
  <c r="T54" i="33"/>
  <c r="X54" i="33"/>
  <c r="D54" i="33"/>
  <c r="P54" i="33"/>
  <c r="W54" i="33"/>
  <c r="V54" i="33"/>
  <c r="M54" i="33"/>
  <c r="Y54" i="33"/>
  <c r="S54" i="33"/>
  <c r="N54" i="33"/>
  <c r="F54" i="33"/>
  <c r="L54" i="33"/>
  <c r="B54" i="33"/>
  <c r="C6" i="9"/>
  <c r="F6" i="9"/>
  <c r="F48" i="13" s="1"/>
  <c r="B8" i="2"/>
  <c r="B7" i="2"/>
  <c r="B6" i="2"/>
  <c r="AE18" i="17" l="1"/>
  <c r="C21" i="31"/>
  <c r="C24" i="31"/>
  <c r="C23" i="31"/>
  <c r="C7" i="31"/>
  <c r="C14" i="31"/>
  <c r="C6" i="31"/>
  <c r="C17" i="31"/>
  <c r="C4" i="31"/>
  <c r="C5" i="31"/>
  <c r="C26" i="31"/>
  <c r="C13" i="31"/>
  <c r="C15" i="31"/>
  <c r="C16" i="31"/>
  <c r="C18" i="31"/>
  <c r="C9" i="31"/>
  <c r="C22" i="31"/>
  <c r="C11" i="31"/>
  <c r="C10" i="31"/>
  <c r="C3" i="31"/>
  <c r="C19" i="31"/>
  <c r="C8" i="31"/>
  <c r="C12" i="31"/>
  <c r="C25" i="31"/>
  <c r="C20" i="31"/>
  <c r="F47" i="18"/>
  <c r="D31" i="17" s="1"/>
  <c r="F31" i="17" s="1"/>
  <c r="AC9" i="45"/>
  <c r="H72" i="18"/>
  <c r="D38" i="17" s="1"/>
  <c r="F38" i="17" s="1"/>
  <c r="AE38" i="17" s="1"/>
  <c r="G63" i="17"/>
  <c r="E11" i="20"/>
  <c r="O11" i="20"/>
  <c r="Q63" i="17"/>
  <c r="U63" i="17"/>
  <c r="S11" i="20"/>
  <c r="T63" i="17"/>
  <c r="R11" i="20"/>
  <c r="K63" i="17"/>
  <c r="I11" i="20"/>
  <c r="N63" i="17"/>
  <c r="L11" i="20"/>
  <c r="O63" i="17"/>
  <c r="M11" i="20"/>
  <c r="R63" i="17"/>
  <c r="P11" i="20"/>
  <c r="Y11" i="20"/>
  <c r="AA63" i="17"/>
  <c r="H63" i="17"/>
  <c r="F11" i="20"/>
  <c r="K11" i="20"/>
  <c r="M63" i="17"/>
  <c r="X63" i="17"/>
  <c r="V11" i="20"/>
  <c r="AD63" i="17"/>
  <c r="AB11" i="20"/>
  <c r="S63" i="17"/>
  <c r="Q11" i="20"/>
  <c r="D23" i="17"/>
  <c r="F20" i="17"/>
  <c r="V63" i="17"/>
  <c r="T11" i="20"/>
  <c r="Y63" i="17"/>
  <c r="W11" i="20"/>
  <c r="I11" i="28"/>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G22" i="17"/>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G11" i="20"/>
  <c r="I63" i="17"/>
  <c r="E66" i="56"/>
  <c r="E71" i="56"/>
  <c r="U11" i="20"/>
  <c r="W63" i="17"/>
  <c r="C82" i="13"/>
  <c r="C84" i="13" s="1"/>
  <c r="C19" i="13"/>
  <c r="C91" i="13"/>
  <c r="F17" i="17"/>
  <c r="D19" i="17"/>
  <c r="H8" i="20"/>
  <c r="Y8" i="20"/>
  <c r="P8" i="20"/>
  <c r="Q8" i="20"/>
  <c r="AA8" i="20"/>
  <c r="E8" i="20"/>
  <c r="G8" i="20"/>
  <c r="S8" i="20"/>
  <c r="T8" i="20"/>
  <c r="W8" i="20"/>
  <c r="X8" i="20"/>
  <c r="J8" i="20"/>
  <c r="K8" i="20"/>
  <c r="V8" i="20"/>
  <c r="I8" i="20"/>
  <c r="O8" i="20"/>
  <c r="U8" i="20"/>
  <c r="N8" i="20"/>
  <c r="Z8" i="20"/>
  <c r="M8" i="20"/>
  <c r="AB8" i="20"/>
  <c r="L8" i="20"/>
  <c r="R8" i="20"/>
  <c r="F8" i="20"/>
  <c r="D8" i="20"/>
  <c r="X11" i="20"/>
  <c r="Z63" i="17"/>
  <c r="N11" i="20"/>
  <c r="P63" i="17"/>
  <c r="AA11" i="20"/>
  <c r="AC63" i="17"/>
  <c r="C44" i="9" a="1"/>
  <c r="C44" i="9" s="1"/>
  <c r="I91" i="13" s="1"/>
  <c r="F91" i="13"/>
  <c r="C35" i="13" s="1" a="1"/>
  <c r="C35" i="13" s="1"/>
  <c r="D11" i="20"/>
  <c r="F63" i="17"/>
  <c r="AE14" i="17"/>
  <c r="H11" i="20"/>
  <c r="J63" i="17"/>
  <c r="AB63" i="17"/>
  <c r="Z11" i="20"/>
  <c r="J11" i="20"/>
  <c r="L63" i="17"/>
  <c r="F71" i="44"/>
  <c r="G44" i="17"/>
  <c r="D9" i="20"/>
  <c r="D10" i="45"/>
  <c r="AA54" i="33"/>
  <c r="C45" i="9" a="1"/>
  <c r="C45" i="9" s="1"/>
  <c r="I92" i="13" s="1"/>
  <c r="A2" i="7" a="1"/>
  <c r="A2" i="7" s="1"/>
  <c r="C27" i="31" l="1"/>
  <c r="AE63" i="17"/>
  <c r="AE22" i="17"/>
  <c r="AC11" i="20"/>
  <c r="AC8" i="20"/>
  <c r="G17" i="17"/>
  <c r="F19" i="17"/>
  <c r="C51" i="45"/>
  <c r="B24" i="46"/>
  <c r="B24" i="21"/>
  <c r="C50" i="20"/>
  <c r="B25" i="46"/>
  <c r="C52" i="45"/>
  <c r="C51" i="20"/>
  <c r="C21" i="13"/>
  <c r="B25" i="21"/>
  <c r="F23" i="17"/>
  <c r="G20" i="17"/>
  <c r="C2" i="19"/>
  <c r="I50" i="13"/>
  <c r="I51" i="13" s="1"/>
  <c r="I53" i="13" s="1"/>
  <c r="I79" i="17" s="1"/>
  <c r="B62" i="33"/>
  <c r="B61" i="33" s="1"/>
  <c r="AE21" i="17"/>
  <c r="G31" i="17"/>
  <c r="E9" i="20"/>
  <c r="H44" i="17"/>
  <c r="E10" i="45"/>
  <c r="F73" i="44"/>
  <c r="A17" i="5"/>
  <c r="A16" i="5"/>
  <c r="A15" i="5"/>
  <c r="D45" i="3"/>
  <c r="D45" i="10" s="1"/>
  <c r="D44" i="3"/>
  <c r="D44" i="10" s="1"/>
  <c r="C20" i="9"/>
  <c r="C22" i="13" s="1"/>
  <c r="E79" i="56" l="1"/>
  <c r="G79" i="17"/>
  <c r="H31" i="17"/>
  <c r="T79" i="17"/>
  <c r="I39" i="13"/>
  <c r="I40" i="13"/>
  <c r="Q79" i="17"/>
  <c r="H20" i="17"/>
  <c r="G23" i="17"/>
  <c r="H79" i="17"/>
  <c r="P79" i="17"/>
  <c r="O79" i="17"/>
  <c r="X79" i="17"/>
  <c r="C13" i="19"/>
  <c r="C12" i="19"/>
  <c r="C14" i="19"/>
  <c r="D14" i="19" s="1"/>
  <c r="K79" i="17"/>
  <c r="U79" i="17"/>
  <c r="AA79" i="17"/>
  <c r="S79" i="17"/>
  <c r="F79" i="17"/>
  <c r="L79" i="17"/>
  <c r="R79" i="17"/>
  <c r="J79" i="17"/>
  <c r="AC79" i="17"/>
  <c r="AB79" i="17"/>
  <c r="C18" i="45"/>
  <c r="C17" i="20"/>
  <c r="F35" i="13"/>
  <c r="F12" i="13"/>
  <c r="AD79" i="17"/>
  <c r="Y79" i="17"/>
  <c r="N79" i="17"/>
  <c r="Z79" i="17"/>
  <c r="V79" i="17"/>
  <c r="W79" i="17"/>
  <c r="F79" i="44"/>
  <c r="F80" i="44" s="1"/>
  <c r="M79" i="17"/>
  <c r="H17" i="17"/>
  <c r="G19" i="17"/>
  <c r="F10" i="45"/>
  <c r="F9" i="20"/>
  <c r="I44" i="17"/>
  <c r="F75" i="44"/>
  <c r="D33" i="33"/>
  <c r="D34" i="33"/>
  <c r="D35" i="33"/>
  <c r="B7" i="19"/>
  <c r="D7" i="19" s="1"/>
  <c r="B18" i="19" s="1"/>
  <c r="C3" i="19"/>
  <c r="B8" i="19"/>
  <c r="D8" i="19" s="1"/>
  <c r="B9" i="19"/>
  <c r="D9" i="19" s="1"/>
  <c r="E63" i="10"/>
  <c r="F66" i="18" s="1"/>
  <c r="E63" i="3"/>
  <c r="F76" i="44" l="1"/>
  <c r="E83" i="44"/>
  <c r="E97" i="44"/>
  <c r="AA72" i="17"/>
  <c r="H72" i="17"/>
  <c r="K72" i="17"/>
  <c r="V72" i="17"/>
  <c r="R72" i="17"/>
  <c r="S72" i="17"/>
  <c r="J72" i="17"/>
  <c r="Z72" i="17"/>
  <c r="P72" i="17"/>
  <c r="AD72" i="17"/>
  <c r="Y72" i="17"/>
  <c r="M72" i="17"/>
  <c r="O72" i="17"/>
  <c r="U72" i="17"/>
  <c r="I72" i="17"/>
  <c r="L72" i="17"/>
  <c r="T72" i="17"/>
  <c r="AB72" i="17"/>
  <c r="Q72" i="17"/>
  <c r="AC72" i="17"/>
  <c r="X72" i="17"/>
  <c r="W72" i="17"/>
  <c r="N72" i="17"/>
  <c r="G72" i="17"/>
  <c r="F72" i="17"/>
  <c r="E72" i="56"/>
  <c r="E73" i="56" s="1"/>
  <c r="E80" i="56" s="1"/>
  <c r="AE79" i="17"/>
  <c r="I41" i="13"/>
  <c r="I43" i="13" s="1"/>
  <c r="B35" i="33"/>
  <c r="AB54" i="33" s="1"/>
  <c r="C20" i="19"/>
  <c r="C25" i="45"/>
  <c r="AC25" i="45" s="1"/>
  <c r="C24" i="20"/>
  <c r="AC24" i="20" s="1"/>
  <c r="B8" i="46"/>
  <c r="B26" i="24"/>
  <c r="B32" i="24" s="1"/>
  <c r="B26" i="47"/>
  <c r="B32" i="47" s="1"/>
  <c r="C45" i="45"/>
  <c r="B20" i="46"/>
  <c r="C22" i="45"/>
  <c r="C44" i="20"/>
  <c r="B8" i="21"/>
  <c r="C21" i="20"/>
  <c r="B20" i="21"/>
  <c r="AC18" i="45"/>
  <c r="C20" i="45"/>
  <c r="AC17" i="20"/>
  <c r="C19" i="20"/>
  <c r="H19" i="17"/>
  <c r="I17" i="17"/>
  <c r="I31" i="17"/>
  <c r="H23" i="17"/>
  <c r="I20" i="17"/>
  <c r="F89" i="56"/>
  <c r="G10" i="45"/>
  <c r="J44" i="17"/>
  <c r="G9" i="20"/>
  <c r="C28" i="33"/>
  <c r="C7" i="35" s="1"/>
  <c r="M28" i="33"/>
  <c r="M7" i="35" s="1"/>
  <c r="Q28" i="33"/>
  <c r="Q7" i="35" s="1"/>
  <c r="L28" i="33"/>
  <c r="L7" i="35" s="1"/>
  <c r="H28" i="33"/>
  <c r="H7" i="35" s="1"/>
  <c r="P28" i="33"/>
  <c r="P7" i="35" s="1"/>
  <c r="O28" i="33"/>
  <c r="O7" i="35" s="1"/>
  <c r="T28" i="33"/>
  <c r="T7" i="35" s="1"/>
  <c r="W28" i="33"/>
  <c r="W7" i="35" s="1"/>
  <c r="X28" i="33"/>
  <c r="X7" i="35" s="1"/>
  <c r="Y28" i="33"/>
  <c r="Y7" i="35" s="1"/>
  <c r="N28" i="33"/>
  <c r="N7" i="35" s="1"/>
  <c r="R28" i="33"/>
  <c r="R7" i="35" s="1"/>
  <c r="D28" i="33"/>
  <c r="D7" i="35" s="1"/>
  <c r="E28" i="33"/>
  <c r="E7" i="35" s="1"/>
  <c r="V28" i="33"/>
  <c r="V7" i="35" s="1"/>
  <c r="S28" i="33"/>
  <c r="S7" i="35" s="1"/>
  <c r="K28" i="33"/>
  <c r="K7" i="35" s="1"/>
  <c r="Z28" i="33"/>
  <c r="Z7" i="35" s="1"/>
  <c r="B28" i="33"/>
  <c r="J28" i="33"/>
  <c r="J7" i="35" s="1"/>
  <c r="F28" i="33"/>
  <c r="F7" i="35" s="1"/>
  <c r="U28" i="33"/>
  <c r="U7" i="35" s="1"/>
  <c r="I28" i="33"/>
  <c r="I7" i="35" s="1"/>
  <c r="G28" i="33"/>
  <c r="G7" i="35" s="1"/>
  <c r="B20" i="19"/>
  <c r="B19" i="19"/>
  <c r="D5" i="34"/>
  <c r="D7" i="34" s="1"/>
  <c r="D9" i="34" s="1"/>
  <c r="D13" i="34" s="1"/>
  <c r="D15" i="34" s="1"/>
  <c r="D17" i="34" s="1"/>
  <c r="O5" i="34"/>
  <c r="O7" i="34" s="1"/>
  <c r="O9" i="34" s="1"/>
  <c r="O13" i="34" s="1"/>
  <c r="O15" i="34" s="1"/>
  <c r="O17" i="34" s="1"/>
  <c r="C5" i="32"/>
  <c r="C7" i="32" s="1"/>
  <c r="C9" i="32" s="1"/>
  <c r="C13" i="32" s="1"/>
  <c r="C15" i="32" s="1"/>
  <c r="C17" i="32" s="1"/>
  <c r="C12" i="36" s="1"/>
  <c r="J5" i="39"/>
  <c r="J7" i="39" s="1"/>
  <c r="J9" i="39" s="1"/>
  <c r="J13" i="39" s="1"/>
  <c r="J15" i="39" s="1"/>
  <c r="J17" i="39" s="1"/>
  <c r="M5" i="32"/>
  <c r="M7" i="32" s="1"/>
  <c r="M9" i="32" s="1"/>
  <c r="M13" i="32" s="1"/>
  <c r="M15" i="32" s="1"/>
  <c r="M17" i="32" s="1"/>
  <c r="M12" i="36" s="1"/>
  <c r="E5" i="34"/>
  <c r="E7" i="34" s="1"/>
  <c r="E9" i="34" s="1"/>
  <c r="E13" i="34" s="1"/>
  <c r="E15" i="34" s="1"/>
  <c r="E17" i="34" s="1"/>
  <c r="C5" i="34"/>
  <c r="C7" i="34" s="1"/>
  <c r="C9" i="34" s="1"/>
  <c r="C13" i="34" s="1"/>
  <c r="C15" i="34" s="1"/>
  <c r="C17" i="34" s="1"/>
  <c r="J5" i="34"/>
  <c r="J7" i="34" s="1"/>
  <c r="J9" i="34" s="1"/>
  <c r="J13" i="34" s="1"/>
  <c r="J15" i="34" s="1"/>
  <c r="J17" i="34" s="1"/>
  <c r="I5" i="34"/>
  <c r="I7" i="34" s="1"/>
  <c r="I9" i="34" s="1"/>
  <c r="I13" i="34" s="1"/>
  <c r="I15" i="34" s="1"/>
  <c r="I17" i="34" s="1"/>
  <c r="H5" i="32"/>
  <c r="H7" i="32" s="1"/>
  <c r="G5" i="34"/>
  <c r="G7" i="34" s="1"/>
  <c r="G9" i="34" s="1"/>
  <c r="G13" i="34" s="1"/>
  <c r="G15" i="34" s="1"/>
  <c r="G17" i="34" s="1"/>
  <c r="E5" i="32"/>
  <c r="E7" i="32" s="1"/>
  <c r="E9" i="32" s="1"/>
  <c r="E13" i="32" s="1"/>
  <c r="E15" i="32" s="1"/>
  <c r="E17" i="32" s="1"/>
  <c r="E12" i="36" s="1"/>
  <c r="G5" i="32"/>
  <c r="G7" i="32" s="1"/>
  <c r="G9" i="32" s="1"/>
  <c r="G13" i="32" s="1"/>
  <c r="G15" i="32" s="1"/>
  <c r="G17" i="32" s="1"/>
  <c r="G12" i="36" s="1"/>
  <c r="B5" i="34"/>
  <c r="Q5" i="34"/>
  <c r="Q7" i="34" s="1"/>
  <c r="Q9" i="34" s="1"/>
  <c r="Q13" i="34" s="1"/>
  <c r="Q15" i="34" s="1"/>
  <c r="Q17" i="34" s="1"/>
  <c r="W5" i="34"/>
  <c r="W7" i="34" s="1"/>
  <c r="W9" i="34" s="1"/>
  <c r="W13" i="34" s="1"/>
  <c r="W15" i="34" s="1"/>
  <c r="W17" i="34" s="1"/>
  <c r="O5" i="32"/>
  <c r="O7" i="32" s="1"/>
  <c r="O9" i="32" s="1"/>
  <c r="O13" i="32" s="1"/>
  <c r="O15" i="32" s="1"/>
  <c r="O17" i="32" s="1"/>
  <c r="O12" i="36" s="1"/>
  <c r="J5" i="32"/>
  <c r="J7" i="32" s="1"/>
  <c r="J9" i="32" s="1"/>
  <c r="J13" i="32" s="1"/>
  <c r="J15" i="32" s="1"/>
  <c r="J17" i="32" s="1"/>
  <c r="J12" i="36" s="1"/>
  <c r="Y5" i="34"/>
  <c r="Y7" i="34" s="1"/>
  <c r="Y9" i="34" s="1"/>
  <c r="Y13" i="34" s="1"/>
  <c r="Y15" i="34" s="1"/>
  <c r="Y17" i="34" s="1"/>
  <c r="P5" i="32"/>
  <c r="P7" i="32" s="1"/>
  <c r="F5" i="32"/>
  <c r="F7" i="32" s="1"/>
  <c r="F9" i="32" s="1"/>
  <c r="F13" i="32" s="1"/>
  <c r="F15" i="32" s="1"/>
  <c r="F17" i="32" s="1"/>
  <c r="F12" i="36" s="1"/>
  <c r="Z5" i="34"/>
  <c r="Z7" i="34" s="1"/>
  <c r="Z9" i="34" s="1"/>
  <c r="Z13" i="34" s="1"/>
  <c r="Z15" i="34" s="1"/>
  <c r="Z17" i="34" s="1"/>
  <c r="K5" i="34"/>
  <c r="K7" i="34" s="1"/>
  <c r="K9" i="34" s="1"/>
  <c r="K13" i="34" s="1"/>
  <c r="K15" i="34" s="1"/>
  <c r="K17" i="34" s="1"/>
  <c r="S5" i="32"/>
  <c r="S7" i="32" s="1"/>
  <c r="R5" i="34"/>
  <c r="R7" i="34" s="1"/>
  <c r="X5" i="32"/>
  <c r="X7" i="32" s="1"/>
  <c r="X9" i="32" s="1"/>
  <c r="X13" i="32" s="1"/>
  <c r="X15" i="32" s="1"/>
  <c r="X17" i="32" s="1"/>
  <c r="X12" i="36" s="1"/>
  <c r="V5" i="34"/>
  <c r="V7" i="34" s="1"/>
  <c r="V9" i="34" s="1"/>
  <c r="V13" i="34" s="1"/>
  <c r="V15" i="34" s="1"/>
  <c r="V17" i="34" s="1"/>
  <c r="E5" i="39"/>
  <c r="E7" i="39" s="1"/>
  <c r="E9" i="39" s="1"/>
  <c r="E13" i="39" s="1"/>
  <c r="E15" i="39" s="1"/>
  <c r="E17" i="39" s="1"/>
  <c r="K5" i="39"/>
  <c r="K7" i="39" s="1"/>
  <c r="K9" i="39" s="1"/>
  <c r="K13" i="39" s="1"/>
  <c r="K15" i="39" s="1"/>
  <c r="K17" i="39" s="1"/>
  <c r="Z5" i="32"/>
  <c r="Z7" i="32" s="1"/>
  <c r="Z9" i="32" s="1"/>
  <c r="Z13" i="32" s="1"/>
  <c r="Z15" i="32" s="1"/>
  <c r="Z17" i="32" s="1"/>
  <c r="Z12" i="36" s="1"/>
  <c r="N5" i="34"/>
  <c r="N7" i="34" s="1"/>
  <c r="N9" i="34" s="1"/>
  <c r="N13" i="34" s="1"/>
  <c r="N15" i="34" s="1"/>
  <c r="N17" i="34" s="1"/>
  <c r="T5" i="34"/>
  <c r="T7" i="34" s="1"/>
  <c r="T9" i="34" s="1"/>
  <c r="T13" i="34" s="1"/>
  <c r="T15" i="34" s="1"/>
  <c r="T17" i="34" s="1"/>
  <c r="P5" i="34"/>
  <c r="P7" i="34" s="1"/>
  <c r="P9" i="34" s="1"/>
  <c r="P13" i="34" s="1"/>
  <c r="P15" i="34" s="1"/>
  <c r="P17" i="34" s="1"/>
  <c r="D5" i="39"/>
  <c r="D7" i="39" s="1"/>
  <c r="D9" i="39" s="1"/>
  <c r="D13" i="39" s="1"/>
  <c r="D15" i="39" s="1"/>
  <c r="D17" i="39" s="1"/>
  <c r="Y5" i="32"/>
  <c r="Y7" i="32" s="1"/>
  <c r="Y9" i="32" s="1"/>
  <c r="Y13" i="32" s="1"/>
  <c r="Y15" i="32" s="1"/>
  <c r="Y17" i="32" s="1"/>
  <c r="Y12" i="36" s="1"/>
  <c r="K5" i="32"/>
  <c r="K7" i="32" s="1"/>
  <c r="K9" i="32" s="1"/>
  <c r="K13" i="32" s="1"/>
  <c r="K15" i="32" s="1"/>
  <c r="K17" i="32" s="1"/>
  <c r="K12" i="36" s="1"/>
  <c r="U5" i="32"/>
  <c r="U7" i="32" s="1"/>
  <c r="U9" i="32" s="1"/>
  <c r="U13" i="32" s="1"/>
  <c r="U15" i="32" s="1"/>
  <c r="U17" i="32" s="1"/>
  <c r="U12" i="36" s="1"/>
  <c r="L5" i="39"/>
  <c r="L7" i="39" s="1"/>
  <c r="L9" i="39" s="1"/>
  <c r="L13" i="39" s="1"/>
  <c r="L15" i="39" s="1"/>
  <c r="L17" i="39" s="1"/>
  <c r="N5" i="32"/>
  <c r="N7" i="32" s="1"/>
  <c r="N9" i="32" s="1"/>
  <c r="N13" i="32" s="1"/>
  <c r="N15" i="32" s="1"/>
  <c r="N17" i="32" s="1"/>
  <c r="N12" i="36" s="1"/>
  <c r="M5" i="34"/>
  <c r="M7" i="34" s="1"/>
  <c r="M9" i="34" s="1"/>
  <c r="M13" i="34" s="1"/>
  <c r="M15" i="34" s="1"/>
  <c r="M17" i="34" s="1"/>
  <c r="Q5" i="32"/>
  <c r="Q7" i="32" s="1"/>
  <c r="Q9" i="32" s="1"/>
  <c r="Q13" i="32" s="1"/>
  <c r="Q15" i="32" s="1"/>
  <c r="Q17" i="32" s="1"/>
  <c r="Q12" i="36" s="1"/>
  <c r="F5" i="34"/>
  <c r="F7" i="34" s="1"/>
  <c r="F9" i="34" s="1"/>
  <c r="F13" i="34" s="1"/>
  <c r="F15" i="34" s="1"/>
  <c r="F17" i="34" s="1"/>
  <c r="I5" i="32"/>
  <c r="I7" i="32" s="1"/>
  <c r="I9" i="32" s="1"/>
  <c r="I13" i="32" s="1"/>
  <c r="I15" i="32" s="1"/>
  <c r="I17" i="32" s="1"/>
  <c r="I12" i="36" s="1"/>
  <c r="V5" i="32"/>
  <c r="V7" i="32" s="1"/>
  <c r="V9" i="32" s="1"/>
  <c r="V13" i="32" s="1"/>
  <c r="V15" i="32" s="1"/>
  <c r="V17" i="32" s="1"/>
  <c r="V12" i="36" s="1"/>
  <c r="U5" i="34"/>
  <c r="U7" i="34" s="1"/>
  <c r="U9" i="34" s="1"/>
  <c r="U13" i="34" s="1"/>
  <c r="U15" i="34" s="1"/>
  <c r="U17" i="34" s="1"/>
  <c r="R5" i="32"/>
  <c r="R7" i="32" s="1"/>
  <c r="L5" i="34"/>
  <c r="L7" i="34" s="1"/>
  <c r="L9" i="34" s="1"/>
  <c r="L13" i="34" s="1"/>
  <c r="L15" i="34" s="1"/>
  <c r="L17" i="34" s="1"/>
  <c r="L5" i="32"/>
  <c r="L7" i="32" s="1"/>
  <c r="L9" i="32" s="1"/>
  <c r="L13" i="32" s="1"/>
  <c r="L15" i="32" s="1"/>
  <c r="L17" i="32" s="1"/>
  <c r="L12" i="36" s="1"/>
  <c r="W5" i="32"/>
  <c r="W7" i="32" s="1"/>
  <c r="W9" i="32" s="1"/>
  <c r="W13" i="32" s="1"/>
  <c r="W15" i="32" s="1"/>
  <c r="W17" i="32" s="1"/>
  <c r="W12" i="36" s="1"/>
  <c r="S5" i="34"/>
  <c r="S7" i="34" s="1"/>
  <c r="S9" i="34" s="1"/>
  <c r="S13" i="34" s="1"/>
  <c r="S15" i="34" s="1"/>
  <c r="S17" i="34" s="1"/>
  <c r="B5" i="32"/>
  <c r="H5" i="34"/>
  <c r="H7" i="34" s="1"/>
  <c r="H9" i="34" s="1"/>
  <c r="H13" i="34" s="1"/>
  <c r="H15" i="34" s="1"/>
  <c r="H17" i="34" s="1"/>
  <c r="D5" i="32"/>
  <c r="D7" i="32" s="1"/>
  <c r="D9" i="32" s="1"/>
  <c r="D13" i="32" s="1"/>
  <c r="D15" i="32" s="1"/>
  <c r="D17" i="32" s="1"/>
  <c r="D12" i="36" s="1"/>
  <c r="X5" i="34"/>
  <c r="X7" i="34" s="1"/>
  <c r="X9" i="34" s="1"/>
  <c r="X13" i="34" s="1"/>
  <c r="X15" i="34" s="1"/>
  <c r="X17" i="34" s="1"/>
  <c r="T5" i="32"/>
  <c r="T7" i="32" s="1"/>
  <c r="T9" i="32" s="1"/>
  <c r="T13" i="32" s="1"/>
  <c r="T15" i="32" s="1"/>
  <c r="T17" i="32" s="1"/>
  <c r="T12" i="36" s="1"/>
  <c r="B5" i="39"/>
  <c r="R5" i="39"/>
  <c r="R7" i="39" s="1"/>
  <c r="R9" i="39" s="1"/>
  <c r="R13" i="39" s="1"/>
  <c r="R15" i="39" s="1"/>
  <c r="R17" i="39" s="1"/>
  <c r="P5" i="39"/>
  <c r="P7" i="39" s="1"/>
  <c r="P9" i="39" s="1"/>
  <c r="P13" i="39" s="1"/>
  <c r="P15" i="39" s="1"/>
  <c r="P17" i="39" s="1"/>
  <c r="T5" i="39"/>
  <c r="T7" i="39" s="1"/>
  <c r="T9" i="39" s="1"/>
  <c r="T13" i="39" s="1"/>
  <c r="T15" i="39" s="1"/>
  <c r="T17" i="39" s="1"/>
  <c r="Q5" i="39"/>
  <c r="Q7" i="39" s="1"/>
  <c r="Q9" i="39" s="1"/>
  <c r="Q13" i="39" s="1"/>
  <c r="Q15" i="39" s="1"/>
  <c r="Q17" i="39" s="1"/>
  <c r="V5" i="39"/>
  <c r="V7" i="39" s="1"/>
  <c r="V9" i="39" s="1"/>
  <c r="V13" i="39" s="1"/>
  <c r="V15" i="39" s="1"/>
  <c r="V17" i="39" s="1"/>
  <c r="I5" i="39"/>
  <c r="I7" i="39" s="1"/>
  <c r="I9" i="39" s="1"/>
  <c r="I13" i="39" s="1"/>
  <c r="I15" i="39" s="1"/>
  <c r="I17" i="39" s="1"/>
  <c r="S5" i="39"/>
  <c r="S7" i="39" s="1"/>
  <c r="S9" i="39" s="1"/>
  <c r="S13" i="39" s="1"/>
  <c r="S15" i="39" s="1"/>
  <c r="S17" i="39" s="1"/>
  <c r="C5" i="39"/>
  <c r="C7" i="39" s="1"/>
  <c r="C9" i="39" s="1"/>
  <c r="C13" i="39" s="1"/>
  <c r="C15" i="39" s="1"/>
  <c r="C17" i="39" s="1"/>
  <c r="H5" i="39"/>
  <c r="H7" i="39" s="1"/>
  <c r="H9" i="39" s="1"/>
  <c r="H13" i="39" s="1"/>
  <c r="H15" i="39" s="1"/>
  <c r="H17" i="39" s="1"/>
  <c r="Z5" i="39"/>
  <c r="Z7" i="39" s="1"/>
  <c r="Z9" i="39" s="1"/>
  <c r="Z13" i="39" s="1"/>
  <c r="Z15" i="39" s="1"/>
  <c r="Z17" i="39" s="1"/>
  <c r="M5" i="39"/>
  <c r="M7" i="39" s="1"/>
  <c r="M9" i="39" s="1"/>
  <c r="M13" i="39" s="1"/>
  <c r="M15" i="39" s="1"/>
  <c r="M17" i="39" s="1"/>
  <c r="G5" i="39"/>
  <c r="G7" i="39" s="1"/>
  <c r="G9" i="39" s="1"/>
  <c r="G13" i="39" s="1"/>
  <c r="G15" i="39" s="1"/>
  <c r="G17" i="39" s="1"/>
  <c r="Y5" i="39"/>
  <c r="Y7" i="39" s="1"/>
  <c r="Y9" i="39" s="1"/>
  <c r="Y13" i="39" s="1"/>
  <c r="Y15" i="39" s="1"/>
  <c r="Y17" i="39" s="1"/>
  <c r="X5" i="39"/>
  <c r="X7" i="39" s="1"/>
  <c r="X9" i="39" s="1"/>
  <c r="X13" i="39" s="1"/>
  <c r="X15" i="39" s="1"/>
  <c r="X17" i="39" s="1"/>
  <c r="U5" i="39"/>
  <c r="U7" i="39" s="1"/>
  <c r="U9" i="39" s="1"/>
  <c r="U13" i="39" s="1"/>
  <c r="U15" i="39" s="1"/>
  <c r="U17" i="39" s="1"/>
  <c r="O5" i="39"/>
  <c r="O7" i="39" s="1"/>
  <c r="O9" i="39" s="1"/>
  <c r="O13" i="39" s="1"/>
  <c r="O15" i="39" s="1"/>
  <c r="O17" i="39" s="1"/>
  <c r="W5" i="39"/>
  <c r="W7" i="39" s="1"/>
  <c r="W9" i="39" s="1"/>
  <c r="W13" i="39" s="1"/>
  <c r="W15" i="39" s="1"/>
  <c r="W17" i="39" s="1"/>
  <c r="F5" i="39"/>
  <c r="F7" i="39" s="1"/>
  <c r="F9" i="39" s="1"/>
  <c r="F13" i="39" s="1"/>
  <c r="F15" i="39" s="1"/>
  <c r="F17" i="39" s="1"/>
  <c r="N5" i="39"/>
  <c r="N7" i="39" s="1"/>
  <c r="N9" i="39" s="1"/>
  <c r="N13" i="39" s="1"/>
  <c r="N15" i="39" s="1"/>
  <c r="N17" i="39" s="1"/>
  <c r="H66" i="18"/>
  <c r="E64" i="10"/>
  <c r="F67" i="18" s="1"/>
  <c r="H67" i="18" s="1"/>
  <c r="E64" i="3"/>
  <c r="F39" i="13" l="1"/>
  <c r="M74" i="17" s="1"/>
  <c r="J56" i="18"/>
  <c r="I42" i="13"/>
  <c r="D83" i="44"/>
  <c r="D97" i="44"/>
  <c r="I47" i="13"/>
  <c r="C26" i="13" s="1"/>
  <c r="H52" i="33" s="1"/>
  <c r="AE72" i="17"/>
  <c r="D20" i="19"/>
  <c r="B28" i="19" s="1"/>
  <c r="D28" i="19" s="1"/>
  <c r="E35" i="33"/>
  <c r="AC22" i="45"/>
  <c r="C33" i="45"/>
  <c r="C34" i="45" s="1"/>
  <c r="C29" i="45"/>
  <c r="J20" i="17"/>
  <c r="I23" i="17"/>
  <c r="J31" i="17"/>
  <c r="I19" i="17"/>
  <c r="J17" i="17"/>
  <c r="AB8" i="46"/>
  <c r="B10" i="46"/>
  <c r="B12" i="46" s="1"/>
  <c r="B13" i="46" s="1"/>
  <c r="R74" i="17"/>
  <c r="B35" i="19"/>
  <c r="G74" i="17"/>
  <c r="J58" i="18"/>
  <c r="E54" i="18" a="1"/>
  <c r="E54" i="18" s="1"/>
  <c r="F54" i="18" s="1"/>
  <c r="F53" i="18" s="1"/>
  <c r="T48" i="33"/>
  <c r="X48" i="33"/>
  <c r="K48" i="33"/>
  <c r="Q48" i="33"/>
  <c r="G48" i="33"/>
  <c r="D48" i="33"/>
  <c r="Z48" i="33"/>
  <c r="L48" i="33"/>
  <c r="N48" i="33"/>
  <c r="H48" i="33"/>
  <c r="M48" i="33"/>
  <c r="F48" i="33"/>
  <c r="O48" i="33"/>
  <c r="AA48" i="33"/>
  <c r="U48" i="33"/>
  <c r="C48" i="33"/>
  <c r="B48" i="33"/>
  <c r="J48" i="33"/>
  <c r="S48" i="33"/>
  <c r="P48" i="33"/>
  <c r="Y48" i="33"/>
  <c r="I48" i="33"/>
  <c r="R48" i="33"/>
  <c r="V48" i="33"/>
  <c r="E48" i="33"/>
  <c r="W48" i="33"/>
  <c r="Q52" i="33"/>
  <c r="AC20" i="45"/>
  <c r="C31" i="45"/>
  <c r="AC19" i="20"/>
  <c r="C30" i="20"/>
  <c r="C32" i="20"/>
  <c r="C33" i="20" s="1"/>
  <c r="C28" i="20"/>
  <c r="AC21" i="20"/>
  <c r="B26" i="25"/>
  <c r="C47" i="45"/>
  <c r="C48" i="45" s="1"/>
  <c r="B22" i="46"/>
  <c r="B23" i="46" s="1"/>
  <c r="B14" i="15"/>
  <c r="B11" i="15"/>
  <c r="B16" i="15"/>
  <c r="B18" i="15"/>
  <c r="B17" i="15"/>
  <c r="B25" i="15"/>
  <c r="B12" i="15"/>
  <c r="B20" i="15"/>
  <c r="B22" i="15"/>
  <c r="B23" i="15"/>
  <c r="C46" i="20"/>
  <c r="C47" i="20" s="1"/>
  <c r="D4" i="15"/>
  <c r="B26" i="15"/>
  <c r="B24" i="15"/>
  <c r="B13" i="15"/>
  <c r="B22" i="21"/>
  <c r="B23" i="21" s="1"/>
  <c r="B19" i="15"/>
  <c r="C12" i="15"/>
  <c r="B21" i="15"/>
  <c r="B15" i="15"/>
  <c r="E83" i="56"/>
  <c r="D83" i="56"/>
  <c r="B10" i="21"/>
  <c r="B12" i="21" s="1"/>
  <c r="B13" i="21" s="1"/>
  <c r="AB8" i="21"/>
  <c r="H10" i="45"/>
  <c r="K44" i="17"/>
  <c r="H9" i="20"/>
  <c r="B7" i="32"/>
  <c r="AA5" i="32"/>
  <c r="H9" i="32"/>
  <c r="H13" i="32" s="1"/>
  <c r="H15" i="32" s="1"/>
  <c r="H17" i="32" s="1"/>
  <c r="H12" i="36" s="1"/>
  <c r="R9" i="34"/>
  <c r="R13" i="34" s="1"/>
  <c r="R15" i="34" s="1"/>
  <c r="R17" i="34" s="1"/>
  <c r="S9" i="32"/>
  <c r="S13" i="32" s="1"/>
  <c r="S15" i="32" s="1"/>
  <c r="S17" i="32" s="1"/>
  <c r="S12" i="36" s="1"/>
  <c r="P9" i="32"/>
  <c r="P13" i="32" s="1"/>
  <c r="P15" i="32" s="1"/>
  <c r="P17" i="32" s="1"/>
  <c r="P12" i="36" s="1"/>
  <c r="C4" i="28"/>
  <c r="B7" i="35"/>
  <c r="AA7" i="35" s="1"/>
  <c r="AA28" i="33"/>
  <c r="AA5" i="39"/>
  <c r="B7" i="39"/>
  <c r="C4" i="46"/>
  <c r="R9" i="32"/>
  <c r="R13" i="32" s="1"/>
  <c r="R15" i="32" s="1"/>
  <c r="R17" i="32" s="1"/>
  <c r="B7" i="34"/>
  <c r="AA5" i="34"/>
  <c r="F68" i="18"/>
  <c r="H68" i="18"/>
  <c r="V52" i="33" l="1"/>
  <c r="K74" i="17"/>
  <c r="C52" i="33"/>
  <c r="Y74" i="17"/>
  <c r="S74" i="17"/>
  <c r="J52" i="33"/>
  <c r="L58" i="33"/>
  <c r="L5" i="33" s="1"/>
  <c r="L7" i="33" s="1"/>
  <c r="L9" i="33" s="1"/>
  <c r="L13" i="33" s="1"/>
  <c r="L15" i="33" s="1"/>
  <c r="L17" i="33" s="1"/>
  <c r="L3" i="35" s="1"/>
  <c r="B52" i="33"/>
  <c r="D52" i="33"/>
  <c r="G58" i="33"/>
  <c r="G5" i="33" s="1"/>
  <c r="G7" i="33" s="1"/>
  <c r="G9" i="33" s="1"/>
  <c r="G13" i="33" s="1"/>
  <c r="G15" i="33" s="1"/>
  <c r="G17" i="33" s="1"/>
  <c r="G19" i="33" s="1"/>
  <c r="T52" i="33"/>
  <c r="X58" i="33"/>
  <c r="X5" i="33" s="1"/>
  <c r="X7" i="33" s="1"/>
  <c r="X9" i="33" s="1"/>
  <c r="X13" i="33" s="1"/>
  <c r="X15" i="33" s="1"/>
  <c r="X17" i="33" s="1"/>
  <c r="X19" i="33" s="1"/>
  <c r="J74" i="17"/>
  <c r="U74" i="17"/>
  <c r="L74" i="17"/>
  <c r="F74" i="17"/>
  <c r="AD74" i="17"/>
  <c r="Q74" i="17"/>
  <c r="F87" i="56"/>
  <c r="F88" i="56" s="1"/>
  <c r="O74" i="17"/>
  <c r="B34" i="19"/>
  <c r="D34" i="19" s="1"/>
  <c r="D10" i="17" s="1"/>
  <c r="F10" i="17" s="1"/>
  <c r="AE10" i="17" s="1"/>
  <c r="AC74" i="17"/>
  <c r="AE74" i="17"/>
  <c r="D58" i="33"/>
  <c r="D5" i="33" s="1"/>
  <c r="D7" i="33" s="1"/>
  <c r="D9" i="33" s="1"/>
  <c r="D13" i="33" s="1"/>
  <c r="D15" i="33" s="1"/>
  <c r="D17" i="33" s="1"/>
  <c r="D3" i="35" s="1"/>
  <c r="B58" i="33"/>
  <c r="D8" i="17"/>
  <c r="F8" i="17" s="1"/>
  <c r="C6" i="21" s="1"/>
  <c r="H58" i="33"/>
  <c r="H5" i="33" s="1"/>
  <c r="H7" i="33" s="1"/>
  <c r="H9" i="33" s="1"/>
  <c r="H13" i="33" s="1"/>
  <c r="H15" i="33" s="1"/>
  <c r="H17" i="33" s="1"/>
  <c r="H3" i="35" s="1"/>
  <c r="G52" i="33"/>
  <c r="J58" i="33"/>
  <c r="J5" i="33" s="1"/>
  <c r="J7" i="33" s="1"/>
  <c r="J9" i="33" s="1"/>
  <c r="J13" i="33" s="1"/>
  <c r="J15" i="33" s="1"/>
  <c r="J17" i="33" s="1"/>
  <c r="J3" i="35" s="1"/>
  <c r="U58" i="33"/>
  <c r="U5" i="33" s="1"/>
  <c r="U7" i="33" s="1"/>
  <c r="U9" i="33" s="1"/>
  <c r="U13" i="33" s="1"/>
  <c r="U15" i="33" s="1"/>
  <c r="U17" i="33" s="1"/>
  <c r="U19" i="33" s="1"/>
  <c r="O52" i="33"/>
  <c r="K52" i="33"/>
  <c r="Z74" i="17"/>
  <c r="W74" i="17"/>
  <c r="X74" i="17"/>
  <c r="T74" i="17"/>
  <c r="C27" i="13"/>
  <c r="K53" i="33" s="1"/>
  <c r="M52" i="33"/>
  <c r="P58" i="33"/>
  <c r="P5" i="33" s="1"/>
  <c r="P7" i="33" s="1"/>
  <c r="P9" i="33" s="1"/>
  <c r="P13" i="33" s="1"/>
  <c r="P15" i="33" s="1"/>
  <c r="P17" i="33" s="1"/>
  <c r="P19" i="33" s="1"/>
  <c r="V58" i="33"/>
  <c r="V5" i="33" s="1"/>
  <c r="V7" i="33" s="1"/>
  <c r="V9" i="33" s="1"/>
  <c r="V13" i="33" s="1"/>
  <c r="V15" i="33" s="1"/>
  <c r="V17" i="33" s="1"/>
  <c r="V19" i="33" s="1"/>
  <c r="N52" i="33"/>
  <c r="N58" i="33"/>
  <c r="N5" i="33" s="1"/>
  <c r="N7" i="33" s="1"/>
  <c r="N9" i="33" s="1"/>
  <c r="N13" i="33" s="1"/>
  <c r="N15" i="33" s="1"/>
  <c r="N17" i="33" s="1"/>
  <c r="N19" i="33" s="1"/>
  <c r="Z58" i="33"/>
  <c r="Z5" i="33" s="1"/>
  <c r="Z7" i="33" s="1"/>
  <c r="Z9" i="33" s="1"/>
  <c r="Z13" i="33" s="1"/>
  <c r="Z15" i="33" s="1"/>
  <c r="Z17" i="33" s="1"/>
  <c r="Z19" i="33" s="1"/>
  <c r="Z52" i="33"/>
  <c r="F58" i="33"/>
  <c r="F5" i="33" s="1"/>
  <c r="F7" i="33" s="1"/>
  <c r="F9" i="33" s="1"/>
  <c r="F13" i="33" s="1"/>
  <c r="F15" i="33" s="1"/>
  <c r="F17" i="33" s="1"/>
  <c r="F3" i="35" s="1"/>
  <c r="T58" i="33"/>
  <c r="T5" i="33" s="1"/>
  <c r="T7" i="33" s="1"/>
  <c r="T9" i="33" s="1"/>
  <c r="T13" i="33" s="1"/>
  <c r="T15" i="33" s="1"/>
  <c r="T17" i="33" s="1"/>
  <c r="T19" i="33" s="1"/>
  <c r="I52" i="33"/>
  <c r="K58" i="33"/>
  <c r="K5" i="33" s="1"/>
  <c r="K7" i="33" s="1"/>
  <c r="K9" i="33" s="1"/>
  <c r="K13" i="33" s="1"/>
  <c r="K15" i="33" s="1"/>
  <c r="K17" i="33" s="1"/>
  <c r="K19" i="33" s="1"/>
  <c r="L52" i="33"/>
  <c r="W52" i="33"/>
  <c r="AB74" i="17"/>
  <c r="I74" i="17"/>
  <c r="P74" i="17"/>
  <c r="E74" i="56"/>
  <c r="E75" i="56" s="1"/>
  <c r="E76" i="56" s="1"/>
  <c r="X52" i="33"/>
  <c r="C58" i="33"/>
  <c r="C5" i="33" s="1"/>
  <c r="C7" i="33" s="1"/>
  <c r="C9" i="33" s="1"/>
  <c r="C13" i="33" s="1"/>
  <c r="C15" i="33" s="1"/>
  <c r="C17" i="33" s="1"/>
  <c r="C3" i="35" s="1"/>
  <c r="F52" i="33"/>
  <c r="R58" i="33"/>
  <c r="R5" i="33" s="1"/>
  <c r="R7" i="33" s="1"/>
  <c r="R9" i="33" s="1"/>
  <c r="R13" i="33" s="1"/>
  <c r="R15" i="33" s="1"/>
  <c r="R17" i="33" s="1"/>
  <c r="R3" i="35" s="1"/>
  <c r="Q58" i="33"/>
  <c r="Q5" i="33" s="1"/>
  <c r="Q7" i="33" s="1"/>
  <c r="Q9" i="33" s="1"/>
  <c r="Q13" i="33" s="1"/>
  <c r="Q15" i="33" s="1"/>
  <c r="Q17" i="33" s="1"/>
  <c r="Q19" i="33" s="1"/>
  <c r="W58" i="33"/>
  <c r="W5" i="33" s="1"/>
  <c r="W7" i="33" s="1"/>
  <c r="W9" i="33" s="1"/>
  <c r="W13" i="33" s="1"/>
  <c r="W15" i="33" s="1"/>
  <c r="W17" i="33" s="1"/>
  <c r="W3" i="35" s="1"/>
  <c r="M58" i="33"/>
  <c r="M5" i="33" s="1"/>
  <c r="M7" i="33" s="1"/>
  <c r="M9" i="33" s="1"/>
  <c r="M13" i="33" s="1"/>
  <c r="M15" i="33" s="1"/>
  <c r="M17" i="33" s="1"/>
  <c r="M3" i="35" s="1"/>
  <c r="AA74" i="17"/>
  <c r="H74" i="17"/>
  <c r="N74" i="17"/>
  <c r="Y52" i="33"/>
  <c r="P52" i="33"/>
  <c r="U52" i="33"/>
  <c r="O58" i="33"/>
  <c r="O5" i="33" s="1"/>
  <c r="O7" i="33" s="1"/>
  <c r="O9" i="33" s="1"/>
  <c r="O13" i="33" s="1"/>
  <c r="O15" i="33" s="1"/>
  <c r="O17" i="33" s="1"/>
  <c r="O3" i="35" s="1"/>
  <c r="E58" i="33"/>
  <c r="E5" i="33" s="1"/>
  <c r="E7" i="33" s="1"/>
  <c r="E9" i="33" s="1"/>
  <c r="E13" i="33" s="1"/>
  <c r="E15" i="33" s="1"/>
  <c r="E17" i="33" s="1"/>
  <c r="E3" i="35" s="1"/>
  <c r="S58" i="33"/>
  <c r="S5" i="33" s="1"/>
  <c r="S7" i="33" s="1"/>
  <c r="S9" i="33" s="1"/>
  <c r="S13" i="33" s="1"/>
  <c r="S15" i="33" s="1"/>
  <c r="S17" i="33" s="1"/>
  <c r="S19" i="33" s="1"/>
  <c r="B12" i="19"/>
  <c r="D12" i="19" s="1"/>
  <c r="B33" i="33" s="1"/>
  <c r="B4" i="23"/>
  <c r="B5" i="23" s="1"/>
  <c r="W13" i="25" s="1"/>
  <c r="B36" i="19"/>
  <c r="D36" i="19" s="1"/>
  <c r="D12" i="17" s="1"/>
  <c r="F12" i="17" s="1"/>
  <c r="V74" i="17"/>
  <c r="R52" i="33"/>
  <c r="I58" i="33"/>
  <c r="I5" i="33" s="1"/>
  <c r="I7" i="33" s="1"/>
  <c r="I9" i="33" s="1"/>
  <c r="I13" i="33" s="1"/>
  <c r="I15" i="33" s="1"/>
  <c r="I17" i="33" s="1"/>
  <c r="I3" i="35" s="1"/>
  <c r="Y58" i="33"/>
  <c r="Y5" i="33" s="1"/>
  <c r="Y7" i="33" s="1"/>
  <c r="Y9" i="33" s="1"/>
  <c r="Y13" i="33" s="1"/>
  <c r="Y15" i="33" s="1"/>
  <c r="Y17" i="33" s="1"/>
  <c r="Y19" i="33" s="1"/>
  <c r="S52" i="33"/>
  <c r="E52" i="33"/>
  <c r="AA28" i="40"/>
  <c r="C29" i="20"/>
  <c r="C34" i="20"/>
  <c r="C30" i="45"/>
  <c r="C35" i="45"/>
  <c r="B9" i="15"/>
  <c r="D12" i="15"/>
  <c r="D32" i="17"/>
  <c r="F56" i="18"/>
  <c r="D77" i="18" s="1"/>
  <c r="K31" i="17"/>
  <c r="K17" i="17"/>
  <c r="J19" i="17"/>
  <c r="K20" i="17"/>
  <c r="J23" i="17"/>
  <c r="AA13" i="47"/>
  <c r="F49" i="17"/>
  <c r="B27" i="48"/>
  <c r="B32" i="25"/>
  <c r="I10" i="45"/>
  <c r="I9" i="20"/>
  <c r="L44" i="17"/>
  <c r="R12" i="36"/>
  <c r="C6" i="46"/>
  <c r="B9" i="34"/>
  <c r="AA7" i="34"/>
  <c r="B4" i="29"/>
  <c r="B6" i="29" s="1"/>
  <c r="B4" i="49"/>
  <c r="B6" i="49" s="1"/>
  <c r="D6" i="27"/>
  <c r="B9" i="39"/>
  <c r="AA9" i="39" s="1"/>
  <c r="AA7" i="39"/>
  <c r="D4" i="46"/>
  <c r="AA7" i="32"/>
  <c r="B9" i="32"/>
  <c r="L19" i="33" l="1"/>
  <c r="B13" i="24"/>
  <c r="AA13" i="24" s="1"/>
  <c r="G3" i="35"/>
  <c r="X3" i="35"/>
  <c r="G8" i="17"/>
  <c r="C5" i="47" s="1"/>
  <c r="F93" i="56"/>
  <c r="D97" i="56" s="1"/>
  <c r="AA52" i="33"/>
  <c r="B5" i="24"/>
  <c r="I13" i="48"/>
  <c r="G13" i="25"/>
  <c r="T13" i="48"/>
  <c r="H13" i="48"/>
  <c r="B7" i="25"/>
  <c r="G13" i="48"/>
  <c r="D14" i="23"/>
  <c r="E8" i="23"/>
  <c r="D15" i="23"/>
  <c r="B6" i="25"/>
  <c r="B13" i="39"/>
  <c r="H19" i="33"/>
  <c r="C13" i="48"/>
  <c r="H13" i="25"/>
  <c r="J13" i="25"/>
  <c r="O13" i="25"/>
  <c r="AA58" i="33"/>
  <c r="Q13" i="25"/>
  <c r="B13" i="25"/>
  <c r="AA13" i="25" s="1"/>
  <c r="R13" i="48"/>
  <c r="T53" i="33"/>
  <c r="T56" i="33" s="1"/>
  <c r="I13" i="25"/>
  <c r="R53" i="33"/>
  <c r="R56" i="33" s="1"/>
  <c r="V13" i="25"/>
  <c r="P13" i="25"/>
  <c r="B5" i="25"/>
  <c r="O13" i="48"/>
  <c r="X53" i="33"/>
  <c r="X57" i="33" s="1"/>
  <c r="P53" i="33"/>
  <c r="P56" i="33" s="1"/>
  <c r="N13" i="25"/>
  <c r="Y13" i="48"/>
  <c r="O53" i="33"/>
  <c r="O56" i="33" s="1"/>
  <c r="J13" i="48"/>
  <c r="V53" i="33"/>
  <c r="V27" i="33" s="1"/>
  <c r="X13" i="48"/>
  <c r="S13" i="25"/>
  <c r="D11" i="23"/>
  <c r="E13" i="25"/>
  <c r="G12" i="17"/>
  <c r="C15" i="47" s="1"/>
  <c r="D8" i="23"/>
  <c r="Z13" i="25"/>
  <c r="K13" i="48"/>
  <c r="W19" i="33"/>
  <c r="B5" i="33"/>
  <c r="AA5" i="33" s="1"/>
  <c r="D19" i="33"/>
  <c r="J19" i="33"/>
  <c r="O19" i="33"/>
  <c r="C18" i="19"/>
  <c r="F13" i="25"/>
  <c r="F92" i="56"/>
  <c r="E97" i="56" s="1"/>
  <c r="Z13" i="48"/>
  <c r="M13" i="48"/>
  <c r="R13" i="25"/>
  <c r="D13" i="48"/>
  <c r="F53" i="33"/>
  <c r="F57" i="33" s="1"/>
  <c r="Q53" i="33"/>
  <c r="Q56" i="33" s="1"/>
  <c r="D53" i="33"/>
  <c r="D57" i="33" s="1"/>
  <c r="S13" i="48"/>
  <c r="L13" i="48"/>
  <c r="W13" i="48"/>
  <c r="U13" i="48"/>
  <c r="V13" i="48"/>
  <c r="C7" i="48"/>
  <c r="D7" i="48" s="1"/>
  <c r="E7" i="48" s="1"/>
  <c r="F7" i="48" s="1"/>
  <c r="G7" i="48" s="1"/>
  <c r="H7" i="48" s="1"/>
  <c r="I7" i="48" s="1"/>
  <c r="J7" i="48" s="1"/>
  <c r="K7" i="48" s="1"/>
  <c r="L7" i="48" s="1"/>
  <c r="M7" i="48" s="1"/>
  <c r="N7" i="48" s="1"/>
  <c r="O7" i="48" s="1"/>
  <c r="P7" i="48" s="1"/>
  <c r="Q7" i="48" s="1"/>
  <c r="R7" i="48" s="1"/>
  <c r="S7" i="48" s="1"/>
  <c r="T7" i="48" s="1"/>
  <c r="U7" i="48" s="1"/>
  <c r="V7" i="48" s="1"/>
  <c r="W7" i="48" s="1"/>
  <c r="X7" i="48" s="1"/>
  <c r="Y7" i="48" s="1"/>
  <c r="Z7" i="48" s="1"/>
  <c r="C13" i="25"/>
  <c r="L53" i="33"/>
  <c r="L27" i="33" s="1"/>
  <c r="H53" i="33"/>
  <c r="H27" i="33" s="1"/>
  <c r="B13" i="19"/>
  <c r="D13" i="19" s="1"/>
  <c r="B34" i="33" s="1"/>
  <c r="B36" i="33" s="1"/>
  <c r="I53" i="33"/>
  <c r="I27" i="33" s="1"/>
  <c r="T13" i="25"/>
  <c r="Y13" i="25"/>
  <c r="M13" i="25"/>
  <c r="U13" i="25"/>
  <c r="L13" i="25"/>
  <c r="D13" i="25"/>
  <c r="P13" i="48"/>
  <c r="E11" i="23"/>
  <c r="S53" i="33"/>
  <c r="S56" i="33" s="1"/>
  <c r="G53" i="33"/>
  <c r="G27" i="33" s="1"/>
  <c r="J53" i="33"/>
  <c r="J57" i="33" s="1"/>
  <c r="C53" i="33"/>
  <c r="C57" i="33" s="1"/>
  <c r="B53" i="33"/>
  <c r="Y53" i="33"/>
  <c r="Y57" i="33" s="1"/>
  <c r="W53" i="33"/>
  <c r="W56" i="33" s="1"/>
  <c r="M53" i="33"/>
  <c r="M56" i="33" s="1"/>
  <c r="N53" i="33"/>
  <c r="N56" i="33" s="1"/>
  <c r="Z53" i="33"/>
  <c r="Z56" i="33" s="1"/>
  <c r="F13" i="48"/>
  <c r="E13" i="48"/>
  <c r="X13" i="25"/>
  <c r="Q13" i="48"/>
  <c r="K13" i="25"/>
  <c r="N13" i="48"/>
  <c r="E53" i="33"/>
  <c r="E27" i="33" s="1"/>
  <c r="U53" i="33"/>
  <c r="U27" i="33" s="1"/>
  <c r="P3" i="35"/>
  <c r="S3" i="35"/>
  <c r="U3" i="35"/>
  <c r="Z3" i="35"/>
  <c r="C19" i="33"/>
  <c r="V3" i="35"/>
  <c r="F19" i="33"/>
  <c r="R19" i="33"/>
  <c r="Q3" i="35"/>
  <c r="K3" i="35"/>
  <c r="I19" i="33"/>
  <c r="T3" i="35"/>
  <c r="M19" i="33"/>
  <c r="Y3" i="35"/>
  <c r="N3" i="35"/>
  <c r="B15" i="25"/>
  <c r="E19" i="33"/>
  <c r="B15" i="24"/>
  <c r="F32" i="17"/>
  <c r="F33" i="17" s="1"/>
  <c r="D33" i="17"/>
  <c r="D40" i="17" s="1"/>
  <c r="K19" i="17"/>
  <c r="L17" i="17"/>
  <c r="C6" i="48"/>
  <c r="D6" i="48" s="1"/>
  <c r="E6" i="48" s="1"/>
  <c r="F6" i="48" s="1"/>
  <c r="G6" i="48" s="1"/>
  <c r="H6" i="48" s="1"/>
  <c r="I6" i="48" s="1"/>
  <c r="J6" i="48" s="1"/>
  <c r="K6" i="48" s="1"/>
  <c r="L6" i="48" s="1"/>
  <c r="M6" i="48" s="1"/>
  <c r="N6" i="48" s="1"/>
  <c r="O6" i="48" s="1"/>
  <c r="P6" i="48" s="1"/>
  <c r="Q6" i="48" s="1"/>
  <c r="R6" i="48" s="1"/>
  <c r="S6" i="48" s="1"/>
  <c r="T6" i="48" s="1"/>
  <c r="U6" i="48" s="1"/>
  <c r="V6" i="48" s="1"/>
  <c r="W6" i="48" s="1"/>
  <c r="X6" i="48" s="1"/>
  <c r="Y6" i="48" s="1"/>
  <c r="Z6" i="48" s="1"/>
  <c r="C7" i="25"/>
  <c r="D7" i="25" s="1"/>
  <c r="E7" i="25" s="1"/>
  <c r="F7" i="25" s="1"/>
  <c r="G7" i="25" s="1"/>
  <c r="H7" i="25" s="1"/>
  <c r="I7" i="25" s="1"/>
  <c r="J7" i="25" s="1"/>
  <c r="K7" i="25" s="1"/>
  <c r="L7" i="25" s="1"/>
  <c r="M7" i="25" s="1"/>
  <c r="N7" i="25" s="1"/>
  <c r="O7" i="25" s="1"/>
  <c r="P7" i="25" s="1"/>
  <c r="Q7" i="25" s="1"/>
  <c r="R7" i="25" s="1"/>
  <c r="S7" i="25" s="1"/>
  <c r="T7" i="25" s="1"/>
  <c r="U7" i="25" s="1"/>
  <c r="V7" i="25" s="1"/>
  <c r="W7" i="25" s="1"/>
  <c r="X7" i="25" s="1"/>
  <c r="Y7" i="25" s="1"/>
  <c r="Z7" i="25" s="1"/>
  <c r="K56" i="33"/>
  <c r="K57" i="33"/>
  <c r="K27" i="33"/>
  <c r="L31" i="17"/>
  <c r="AB52" i="33"/>
  <c r="E33" i="33"/>
  <c r="D26" i="20"/>
  <c r="D13" i="20"/>
  <c r="C6" i="25"/>
  <c r="D6" i="25" s="1"/>
  <c r="E6" i="25" s="1"/>
  <c r="F6" i="25" s="1"/>
  <c r="G6" i="25" s="1"/>
  <c r="H6" i="25" s="1"/>
  <c r="I6" i="25" s="1"/>
  <c r="J6" i="25" s="1"/>
  <c r="K6" i="25" s="1"/>
  <c r="L6" i="25" s="1"/>
  <c r="M6" i="25" s="1"/>
  <c r="N6" i="25" s="1"/>
  <c r="O6" i="25" s="1"/>
  <c r="P6" i="25" s="1"/>
  <c r="Q6" i="25" s="1"/>
  <c r="R6" i="25" s="1"/>
  <c r="S6" i="25" s="1"/>
  <c r="T6" i="25" s="1"/>
  <c r="U6" i="25" s="1"/>
  <c r="V6" i="25" s="1"/>
  <c r="W6" i="25" s="1"/>
  <c r="X6" i="25" s="1"/>
  <c r="Y6" i="25" s="1"/>
  <c r="Z6" i="25" s="1"/>
  <c r="L20" i="17"/>
  <c r="K23" i="17"/>
  <c r="D25" i="20"/>
  <c r="E12" i="15"/>
  <c r="B15" i="39"/>
  <c r="AA15" i="39" s="1"/>
  <c r="M44" i="17"/>
  <c r="J9" i="20"/>
  <c r="J10" i="45"/>
  <c r="B13" i="32"/>
  <c r="AA9" i="32"/>
  <c r="B13" i="34"/>
  <c r="AA9" i="34"/>
  <c r="C5" i="48"/>
  <c r="C5" i="24"/>
  <c r="H8" i="17"/>
  <c r="D6" i="21"/>
  <c r="B8" i="27"/>
  <c r="D8" i="27" s="1"/>
  <c r="D12" i="27" s="1"/>
  <c r="D6" i="46"/>
  <c r="E4" i="46"/>
  <c r="C5" i="25" l="1"/>
  <c r="C15" i="25"/>
  <c r="B14" i="27"/>
  <c r="D14" i="27" s="1"/>
  <c r="D16" i="27" s="1"/>
  <c r="B17" i="39"/>
  <c r="AA17" i="39" s="1"/>
  <c r="AA6" i="25"/>
  <c r="AA6" i="48"/>
  <c r="X27" i="33"/>
  <c r="X6" i="35" s="1"/>
  <c r="X9" i="35" s="1"/>
  <c r="T27" i="33"/>
  <c r="T6" i="35" s="1"/>
  <c r="T9" i="35" s="1"/>
  <c r="T57" i="33"/>
  <c r="R27" i="33"/>
  <c r="R6" i="35" s="1"/>
  <c r="R9" i="35" s="1"/>
  <c r="R57" i="33"/>
  <c r="C15" i="24"/>
  <c r="C15" i="48"/>
  <c r="H12" i="17"/>
  <c r="D15" i="24" s="1"/>
  <c r="X56" i="33"/>
  <c r="AA53" i="33"/>
  <c r="D18" i="19"/>
  <c r="B26" i="19" s="1"/>
  <c r="AA13" i="48"/>
  <c r="V57" i="33"/>
  <c r="P57" i="33"/>
  <c r="V56" i="33"/>
  <c r="P27" i="33"/>
  <c r="P6" i="35" s="1"/>
  <c r="P9" i="35" s="1"/>
  <c r="O27" i="33"/>
  <c r="O6" i="35" s="1"/>
  <c r="O9" i="35" s="1"/>
  <c r="O57" i="33"/>
  <c r="S27" i="33"/>
  <c r="S29" i="33" s="1"/>
  <c r="E56" i="33"/>
  <c r="S57" i="33"/>
  <c r="E57" i="33"/>
  <c r="B7" i="33"/>
  <c r="B9" i="33" s="1"/>
  <c r="I56" i="33"/>
  <c r="F56" i="33"/>
  <c r="F27" i="33"/>
  <c r="F29" i="33" s="1"/>
  <c r="J56" i="33"/>
  <c r="J27" i="33"/>
  <c r="J6" i="35" s="1"/>
  <c r="J9" i="35" s="1"/>
  <c r="G56" i="33"/>
  <c r="Z57" i="33"/>
  <c r="G57" i="33"/>
  <c r="U56" i="33"/>
  <c r="I57" i="33"/>
  <c r="U57" i="33"/>
  <c r="B27" i="33"/>
  <c r="B29" i="33" s="1"/>
  <c r="Z27" i="33"/>
  <c r="Z29" i="33" s="1"/>
  <c r="Q27" i="33"/>
  <c r="Q6" i="35" s="1"/>
  <c r="Q9" i="35" s="1"/>
  <c r="H56" i="33"/>
  <c r="Q57" i="33"/>
  <c r="H57" i="33"/>
  <c r="C27" i="33"/>
  <c r="C29" i="33" s="1"/>
  <c r="C56" i="33"/>
  <c r="L57" i="33"/>
  <c r="B56" i="33"/>
  <c r="D27" i="33"/>
  <c r="D29" i="33" s="1"/>
  <c r="L56" i="33"/>
  <c r="B57" i="33"/>
  <c r="D56" i="33"/>
  <c r="N27" i="33"/>
  <c r="N29" i="33" s="1"/>
  <c r="N57" i="33"/>
  <c r="Y56" i="33"/>
  <c r="M57" i="33"/>
  <c r="W57" i="33"/>
  <c r="M27" i="33"/>
  <c r="M29" i="33" s="1"/>
  <c r="W27" i="33"/>
  <c r="W6" i="35" s="1"/>
  <c r="W9" i="35" s="1"/>
  <c r="C19" i="19"/>
  <c r="C21" i="19" s="1"/>
  <c r="Y27" i="33"/>
  <c r="Y6" i="35" s="1"/>
  <c r="Y9" i="35" s="1"/>
  <c r="AA7" i="25"/>
  <c r="AA7" i="48"/>
  <c r="F40" i="17"/>
  <c r="G32" i="17"/>
  <c r="H6" i="35"/>
  <c r="H9" i="35" s="1"/>
  <c r="H29" i="33"/>
  <c r="L19" i="17"/>
  <c r="M17" i="17"/>
  <c r="U29" i="33"/>
  <c r="U6" i="35"/>
  <c r="U9" i="35" s="1"/>
  <c r="E29" i="33"/>
  <c r="E6" i="35"/>
  <c r="E9" i="35" s="1"/>
  <c r="M31" i="17"/>
  <c r="M20" i="17"/>
  <c r="L23" i="17"/>
  <c r="G29" i="33"/>
  <c r="G6" i="35"/>
  <c r="G9" i="35" s="1"/>
  <c r="I29" i="33"/>
  <c r="I6" i="35"/>
  <c r="I9" i="35" s="1"/>
  <c r="AB53" i="33"/>
  <c r="AB55" i="33" s="1"/>
  <c r="E34" i="33"/>
  <c r="X46" i="33"/>
  <c r="R46" i="33"/>
  <c r="O46" i="33"/>
  <c r="Q46" i="33"/>
  <c r="B46" i="33"/>
  <c r="L46" i="33"/>
  <c r="K46" i="33"/>
  <c r="C46" i="33"/>
  <c r="J46" i="33"/>
  <c r="Z46" i="33"/>
  <c r="P46" i="33"/>
  <c r="G46" i="33"/>
  <c r="V46" i="33"/>
  <c r="W46" i="33"/>
  <c r="M46" i="33"/>
  <c r="Y46" i="33"/>
  <c r="AA46" i="33"/>
  <c r="S46" i="33"/>
  <c r="U46" i="33"/>
  <c r="E46" i="33"/>
  <c r="N46" i="33"/>
  <c r="H46" i="33"/>
  <c r="F46" i="33"/>
  <c r="T46" i="33"/>
  <c r="D46" i="33"/>
  <c r="I46" i="33"/>
  <c r="D9" i="23"/>
  <c r="I12" i="17"/>
  <c r="L6" i="35"/>
  <c r="L9" i="35" s="1"/>
  <c r="L29" i="33"/>
  <c r="C13" i="15"/>
  <c r="K6" i="35"/>
  <c r="K9" i="35" s="1"/>
  <c r="K29" i="33"/>
  <c r="V29" i="33"/>
  <c r="V6" i="35"/>
  <c r="V9" i="35" s="1"/>
  <c r="AA13" i="39"/>
  <c r="K10" i="45"/>
  <c r="N44" i="17"/>
  <c r="K9" i="20"/>
  <c r="F4" i="46"/>
  <c r="D5" i="25"/>
  <c r="I8" i="17"/>
  <c r="E6" i="21"/>
  <c r="D5" i="47"/>
  <c r="D5" i="48"/>
  <c r="D5" i="24"/>
  <c r="AA13" i="32"/>
  <c r="B15" i="32"/>
  <c r="AA15" i="32" s="1"/>
  <c r="B15" i="34"/>
  <c r="AA13" i="34"/>
  <c r="B8" i="29"/>
  <c r="B12" i="29" s="1"/>
  <c r="B8" i="49"/>
  <c r="B12" i="49" s="1"/>
  <c r="E6" i="46"/>
  <c r="B7" i="41"/>
  <c r="D15" i="48" l="1"/>
  <c r="D15" i="25"/>
  <c r="D15" i="47"/>
  <c r="X29" i="33"/>
  <c r="T29" i="33"/>
  <c r="R29" i="33"/>
  <c r="O29" i="33"/>
  <c r="P29" i="33"/>
  <c r="AA56" i="33"/>
  <c r="S6" i="35"/>
  <c r="S9" i="35" s="1"/>
  <c r="AA7" i="33"/>
  <c r="F6" i="35"/>
  <c r="F9" i="35" s="1"/>
  <c r="Q29" i="33"/>
  <c r="J29" i="33"/>
  <c r="D6" i="35"/>
  <c r="D9" i="35" s="1"/>
  <c r="M6" i="35"/>
  <c r="M9" i="35" s="1"/>
  <c r="AA27" i="33"/>
  <c r="B6" i="35"/>
  <c r="Z6" i="35"/>
  <c r="Z9" i="35" s="1"/>
  <c r="Y29" i="33"/>
  <c r="N6" i="35"/>
  <c r="N9" i="35" s="1"/>
  <c r="C6" i="35"/>
  <c r="C9" i="35" s="1"/>
  <c r="W29" i="33"/>
  <c r="D19" i="19"/>
  <c r="B27" i="19" s="1"/>
  <c r="D27" i="19" s="1"/>
  <c r="D7" i="17" s="1"/>
  <c r="F7" i="17" s="1"/>
  <c r="N47" i="33"/>
  <c r="N49" i="33" s="1"/>
  <c r="H32" i="17"/>
  <c r="G33" i="17"/>
  <c r="F65" i="17"/>
  <c r="F71" i="17" s="1"/>
  <c r="F73" i="17" s="1"/>
  <c r="C43" i="13"/>
  <c r="D10" i="20"/>
  <c r="C44" i="13"/>
  <c r="G49" i="17"/>
  <c r="D13" i="15"/>
  <c r="AA9" i="33"/>
  <c r="B13" i="33"/>
  <c r="AA26" i="40"/>
  <c r="N20" i="17"/>
  <c r="M23" i="17"/>
  <c r="E15" i="48"/>
  <c r="E15" i="47"/>
  <c r="J12" i="17"/>
  <c r="E15" i="24"/>
  <c r="E15" i="25"/>
  <c r="N31" i="17"/>
  <c r="N17" i="17"/>
  <c r="M19" i="17"/>
  <c r="D26" i="19"/>
  <c r="O44" i="17"/>
  <c r="L9" i="20"/>
  <c r="L10" i="45"/>
  <c r="F6" i="46"/>
  <c r="E5" i="48"/>
  <c r="J8" i="17"/>
  <c r="E5" i="25"/>
  <c r="E5" i="24"/>
  <c r="E5" i="47"/>
  <c r="F6" i="21"/>
  <c r="D29" i="45"/>
  <c r="C5" i="46"/>
  <c r="C7" i="46" s="1"/>
  <c r="G4" i="46"/>
  <c r="B17" i="34"/>
  <c r="AA17" i="34" s="1"/>
  <c r="AA15" i="34"/>
  <c r="B14" i="29"/>
  <c r="B14" i="49"/>
  <c r="B17" i="32"/>
  <c r="AA29" i="33" l="1"/>
  <c r="V47" i="33"/>
  <c r="V49" i="33" s="1"/>
  <c r="U47" i="33"/>
  <c r="U49" i="33" s="1"/>
  <c r="L29" i="40"/>
  <c r="W47" i="33"/>
  <c r="W49" i="33" s="1"/>
  <c r="U29" i="40"/>
  <c r="G47" i="33"/>
  <c r="G49" i="33" s="1"/>
  <c r="S47" i="33"/>
  <c r="S49" i="33" s="1"/>
  <c r="AA6" i="35"/>
  <c r="F47" i="33"/>
  <c r="F49" i="33" s="1"/>
  <c r="B29" i="19"/>
  <c r="T29" i="40"/>
  <c r="Z29" i="40"/>
  <c r="S29" i="40"/>
  <c r="I47" i="33"/>
  <c r="I49" i="33" s="1"/>
  <c r="B47" i="33"/>
  <c r="B49" i="33" s="1"/>
  <c r="F29" i="40"/>
  <c r="W29" i="40"/>
  <c r="D21" i="19"/>
  <c r="C4" i="19" s="1"/>
  <c r="D47" i="33"/>
  <c r="D49" i="33" s="1"/>
  <c r="Z47" i="33"/>
  <c r="Z49" i="33" s="1"/>
  <c r="AA47" i="33"/>
  <c r="AA49" i="33" s="1"/>
  <c r="C47" i="33"/>
  <c r="C49" i="33" s="1"/>
  <c r="H29" i="40"/>
  <c r="T47" i="33"/>
  <c r="T49" i="33" s="1"/>
  <c r="J29" i="40"/>
  <c r="K29" i="40"/>
  <c r="Q47" i="33"/>
  <c r="Q49" i="33" s="1"/>
  <c r="Y47" i="33"/>
  <c r="Y49" i="33" s="1"/>
  <c r="X29" i="40"/>
  <c r="H47" i="33"/>
  <c r="H49" i="33" s="1"/>
  <c r="L47" i="33"/>
  <c r="L49" i="33" s="1"/>
  <c r="R29" i="40"/>
  <c r="Q29" i="40"/>
  <c r="V29" i="40"/>
  <c r="M29" i="40"/>
  <c r="J47" i="33"/>
  <c r="J49" i="33" s="1"/>
  <c r="X47" i="33"/>
  <c r="X49" i="33" s="1"/>
  <c r="K47" i="33"/>
  <c r="K49" i="33" s="1"/>
  <c r="D29" i="40"/>
  <c r="E47" i="33"/>
  <c r="E49" i="33" s="1"/>
  <c r="G29" i="40"/>
  <c r="N29" i="40"/>
  <c r="O29" i="40"/>
  <c r="E10" i="23"/>
  <c r="C29" i="40"/>
  <c r="R47" i="33"/>
  <c r="R49" i="33" s="1"/>
  <c r="Y29" i="40"/>
  <c r="M47" i="33"/>
  <c r="M49" i="33" s="1"/>
  <c r="O47" i="33"/>
  <c r="O49" i="33" s="1"/>
  <c r="I29" i="40"/>
  <c r="P47" i="33"/>
  <c r="P49" i="33" s="1"/>
  <c r="E29" i="40"/>
  <c r="D10" i="23"/>
  <c r="P29" i="40"/>
  <c r="B4" i="25"/>
  <c r="C5" i="21"/>
  <c r="G7" i="17"/>
  <c r="C4" i="25" s="1"/>
  <c r="B4" i="24"/>
  <c r="G40" i="17"/>
  <c r="I32" i="17"/>
  <c r="H33" i="17"/>
  <c r="H40" i="17" s="1"/>
  <c r="C45" i="13"/>
  <c r="F80" i="17"/>
  <c r="F75" i="17"/>
  <c r="F76" i="17" s="1"/>
  <c r="O31" i="17"/>
  <c r="K12" i="17"/>
  <c r="F15" i="47"/>
  <c r="F15" i="48"/>
  <c r="F15" i="24"/>
  <c r="F15" i="25"/>
  <c r="E26" i="45"/>
  <c r="E25" i="20"/>
  <c r="E13" i="15"/>
  <c r="AA13" i="33"/>
  <c r="B15" i="33"/>
  <c r="E13" i="20"/>
  <c r="E26" i="20"/>
  <c r="O17" i="17"/>
  <c r="N19" i="17"/>
  <c r="O20" i="17"/>
  <c r="N23" i="17"/>
  <c r="E9" i="23"/>
  <c r="D6" i="17"/>
  <c r="D29" i="19"/>
  <c r="M10" i="45"/>
  <c r="M9" i="20"/>
  <c r="P44" i="17"/>
  <c r="AA17" i="32"/>
  <c r="B12" i="36"/>
  <c r="F85" i="44"/>
  <c r="B16" i="49"/>
  <c r="B16" i="29"/>
  <c r="F5" i="48"/>
  <c r="G6" i="21"/>
  <c r="F5" i="24"/>
  <c r="F5" i="47"/>
  <c r="F5" i="25"/>
  <c r="K8" i="17"/>
  <c r="G6" i="46"/>
  <c r="H4" i="46"/>
  <c r="D5" i="46"/>
  <c r="D7" i="46" s="1"/>
  <c r="E28" i="45"/>
  <c r="J35" i="40" l="1"/>
  <c r="P35" i="40"/>
  <c r="Q35" i="40"/>
  <c r="M35" i="40"/>
  <c r="E35" i="40"/>
  <c r="S35" i="40"/>
  <c r="O35" i="40"/>
  <c r="F35" i="40"/>
  <c r="H35" i="40"/>
  <c r="U35" i="40"/>
  <c r="D35" i="40"/>
  <c r="Z35" i="40"/>
  <c r="Y35" i="40"/>
  <c r="I35" i="40"/>
  <c r="N35" i="40"/>
  <c r="V35" i="40"/>
  <c r="K35" i="40"/>
  <c r="T35" i="40"/>
  <c r="L35" i="40"/>
  <c r="X35" i="40"/>
  <c r="G35" i="40"/>
  <c r="R35" i="40"/>
  <c r="W35" i="40"/>
  <c r="AA29" i="40"/>
  <c r="C4" i="47"/>
  <c r="C4" i="24"/>
  <c r="H7" i="17"/>
  <c r="D4" i="24" s="1"/>
  <c r="D5" i="21"/>
  <c r="C4" i="48"/>
  <c r="AA27" i="40"/>
  <c r="E29" i="45"/>
  <c r="J32" i="17"/>
  <c r="I33" i="17"/>
  <c r="I40" i="17" s="1"/>
  <c r="G65" i="17"/>
  <c r="G71" i="17" s="1"/>
  <c r="G73" i="17" s="1"/>
  <c r="E10" i="20"/>
  <c r="F10" i="20" s="1"/>
  <c r="D83" i="17"/>
  <c r="E83" i="17"/>
  <c r="G15" i="24"/>
  <c r="G15" i="25"/>
  <c r="L12" i="17"/>
  <c r="G15" i="48"/>
  <c r="G15" i="47"/>
  <c r="AA15" i="33"/>
  <c r="B17" i="33"/>
  <c r="P20" i="17"/>
  <c r="O23" i="17"/>
  <c r="C14" i="15"/>
  <c r="C29" i="19"/>
  <c r="F6" i="17"/>
  <c r="D27" i="20" s="1"/>
  <c r="D28" i="20" s="1"/>
  <c r="D9" i="17"/>
  <c r="P17" i="17"/>
  <c r="O19" i="17"/>
  <c r="P31" i="17"/>
  <c r="F89" i="44"/>
  <c r="N9" i="20"/>
  <c r="Q44" i="17"/>
  <c r="N10" i="45"/>
  <c r="G5" i="25"/>
  <c r="G5" i="47"/>
  <c r="L8" i="17"/>
  <c r="G5" i="48"/>
  <c r="G5" i="24"/>
  <c r="H6" i="21"/>
  <c r="B25" i="29"/>
  <c r="F28" i="45"/>
  <c r="E5" i="46"/>
  <c r="E7" i="46" s="1"/>
  <c r="B25" i="49"/>
  <c r="AA12" i="36"/>
  <c r="AA14" i="36" s="1"/>
  <c r="I4" i="46"/>
  <c r="H6" i="46"/>
  <c r="E21" i="40" l="1"/>
  <c r="E22" i="40"/>
  <c r="E7" i="41" s="1"/>
  <c r="I14" i="28"/>
  <c r="I15" i="28" s="1"/>
  <c r="M21" i="40"/>
  <c r="M22" i="40"/>
  <c r="M7" i="41" s="1"/>
  <c r="H21" i="40"/>
  <c r="H22" i="40"/>
  <c r="H7" i="41" s="1"/>
  <c r="R40" i="40"/>
  <c r="R5" i="40" s="1"/>
  <c r="R7" i="40" s="1"/>
  <c r="R9" i="40" s="1"/>
  <c r="R13" i="40" s="1"/>
  <c r="R15" i="40" s="1"/>
  <c r="R17" i="40" s="1"/>
  <c r="R3" i="41" s="1"/>
  <c r="R22" i="40"/>
  <c r="R7" i="41" s="1"/>
  <c r="R21" i="40"/>
  <c r="L22" i="40"/>
  <c r="L7" i="41" s="1"/>
  <c r="L40" i="40"/>
  <c r="L5" i="40" s="1"/>
  <c r="L7" i="40" s="1"/>
  <c r="L9" i="40" s="1"/>
  <c r="L13" i="40" s="1"/>
  <c r="L15" i="40" s="1"/>
  <c r="L17" i="40" s="1"/>
  <c r="L3" i="41" s="1"/>
  <c r="L21" i="40"/>
  <c r="C21" i="40"/>
  <c r="C6" i="41" s="1"/>
  <c r="D22" i="40"/>
  <c r="D7" i="41" s="1"/>
  <c r="D21" i="40"/>
  <c r="Q40" i="40"/>
  <c r="Q5" i="40" s="1"/>
  <c r="Q7" i="40" s="1"/>
  <c r="Q9" i="40" s="1"/>
  <c r="Q13" i="40" s="1"/>
  <c r="Q15" i="40" s="1"/>
  <c r="Q17" i="40" s="1"/>
  <c r="Q3" i="41" s="1"/>
  <c r="Q22" i="40"/>
  <c r="Q7" i="41" s="1"/>
  <c r="Q21" i="40"/>
  <c r="P22" i="40"/>
  <c r="P7" i="41" s="1"/>
  <c r="P21" i="40"/>
  <c r="T22" i="40"/>
  <c r="T7" i="41" s="1"/>
  <c r="S21" i="40"/>
  <c r="S22" i="40"/>
  <c r="S7" i="41" s="1"/>
  <c r="Y21" i="40"/>
  <c r="Y22" i="40"/>
  <c r="Y7" i="41" s="1"/>
  <c r="U22" i="40"/>
  <c r="U7" i="41" s="1"/>
  <c r="W22" i="40"/>
  <c r="W7" i="41" s="1"/>
  <c r="W21" i="40"/>
  <c r="G21" i="40"/>
  <c r="G22" i="40"/>
  <c r="G7" i="41" s="1"/>
  <c r="X21" i="40"/>
  <c r="X22" i="40"/>
  <c r="X7" i="41" s="1"/>
  <c r="O21" i="40"/>
  <c r="O22" i="40"/>
  <c r="O7" i="41" s="1"/>
  <c r="K22" i="40"/>
  <c r="K7" i="41" s="1"/>
  <c r="K21" i="40"/>
  <c r="N21" i="40"/>
  <c r="N22" i="40"/>
  <c r="N7" i="41" s="1"/>
  <c r="I22" i="40"/>
  <c r="I7" i="41" s="1"/>
  <c r="I21" i="40"/>
  <c r="Z22" i="40"/>
  <c r="Z7" i="41" s="1"/>
  <c r="F22" i="40"/>
  <c r="F7" i="41" s="1"/>
  <c r="F21" i="40"/>
  <c r="J40" i="40"/>
  <c r="J5" i="40" s="1"/>
  <c r="J7" i="40" s="1"/>
  <c r="J9" i="40" s="1"/>
  <c r="J13" i="40" s="1"/>
  <c r="J15" i="40" s="1"/>
  <c r="J17" i="40" s="1"/>
  <c r="J3" i="41" s="1"/>
  <c r="J21" i="40"/>
  <c r="J22" i="40"/>
  <c r="J7" i="41" s="1"/>
  <c r="V21" i="40"/>
  <c r="V22" i="40"/>
  <c r="V7" i="41" s="1"/>
  <c r="V40" i="40"/>
  <c r="V5" i="40" s="1"/>
  <c r="V7" i="40" s="1"/>
  <c r="V9" i="40" s="1"/>
  <c r="V13" i="40" s="1"/>
  <c r="V15" i="40" s="1"/>
  <c r="V17" i="40" s="1"/>
  <c r="V3" i="41" s="1"/>
  <c r="W40" i="40"/>
  <c r="W5" i="40" s="1"/>
  <c r="W7" i="40" s="1"/>
  <c r="W9" i="40" s="1"/>
  <c r="W13" i="40" s="1"/>
  <c r="W15" i="40" s="1"/>
  <c r="W17" i="40" s="1"/>
  <c r="W3" i="41" s="1"/>
  <c r="I38" i="40"/>
  <c r="I6" i="41" s="1"/>
  <c r="AA35" i="40"/>
  <c r="D38" i="40"/>
  <c r="D4" i="48"/>
  <c r="I7" i="17"/>
  <c r="F5" i="21" s="1"/>
  <c r="E5" i="21"/>
  <c r="D4" i="47"/>
  <c r="D4" i="25"/>
  <c r="G10" i="20"/>
  <c r="K32" i="17"/>
  <c r="J33" i="17"/>
  <c r="G80" i="17"/>
  <c r="G75" i="17"/>
  <c r="G76" i="17" s="1"/>
  <c r="M40" i="40"/>
  <c r="M5" i="40" s="1"/>
  <c r="M7" i="40" s="1"/>
  <c r="M9" i="40" s="1"/>
  <c r="M13" i="40" s="1"/>
  <c r="M15" i="40" s="1"/>
  <c r="M17" i="40" s="1"/>
  <c r="M3" i="41" s="1"/>
  <c r="E38" i="40"/>
  <c r="E37" i="40"/>
  <c r="E40" i="40"/>
  <c r="E5" i="40" s="1"/>
  <c r="E7" i="40" s="1"/>
  <c r="E9" i="40" s="1"/>
  <c r="E13" i="40" s="1"/>
  <c r="E15" i="40" s="1"/>
  <c r="E17" i="40" s="1"/>
  <c r="E3" i="41" s="1"/>
  <c r="Q17" i="17"/>
  <c r="P19" i="17"/>
  <c r="C4" i="21"/>
  <c r="C7" i="21" s="1"/>
  <c r="G6" i="17"/>
  <c r="E27" i="20" s="1"/>
  <c r="E28" i="20" s="1"/>
  <c r="B3" i="25"/>
  <c r="B8" i="25" s="1"/>
  <c r="B3" i="24"/>
  <c r="B8" i="24" s="1"/>
  <c r="F9" i="17"/>
  <c r="H49" i="17"/>
  <c r="D14" i="15"/>
  <c r="AA17" i="33"/>
  <c r="B19" i="33"/>
  <c r="AA19" i="33" s="1"/>
  <c r="B3" i="35"/>
  <c r="C21" i="49"/>
  <c r="D21" i="49" s="1"/>
  <c r="E21" i="49" s="1"/>
  <c r="C21" i="29"/>
  <c r="D21" i="29" s="1"/>
  <c r="E21" i="29" s="1"/>
  <c r="B38" i="40"/>
  <c r="B37" i="40"/>
  <c r="M12" i="17"/>
  <c r="H15" i="47"/>
  <c r="H15" i="48"/>
  <c r="H15" i="25"/>
  <c r="H15" i="24"/>
  <c r="B40" i="40"/>
  <c r="B43" i="40" s="1"/>
  <c r="Q31" i="17"/>
  <c r="P23" i="17"/>
  <c r="Q20" i="17"/>
  <c r="F87" i="44"/>
  <c r="O9" i="20"/>
  <c r="R44" i="17"/>
  <c r="O10" i="45"/>
  <c r="F5" i="46"/>
  <c r="F7" i="46" s="1"/>
  <c r="G28" i="45"/>
  <c r="I6" i="46"/>
  <c r="J4" i="46"/>
  <c r="M8" i="17"/>
  <c r="H5" i="25"/>
  <c r="H5" i="47"/>
  <c r="H5" i="48"/>
  <c r="I6" i="21"/>
  <c r="H5" i="24"/>
  <c r="E4" i="25" l="1"/>
  <c r="J7" i="17"/>
  <c r="E4" i="48"/>
  <c r="E4" i="24"/>
  <c r="E4" i="47"/>
  <c r="C37" i="40"/>
  <c r="C38" i="40"/>
  <c r="I23" i="40"/>
  <c r="Y37" i="40"/>
  <c r="K37" i="40"/>
  <c r="D23" i="40"/>
  <c r="K40" i="40"/>
  <c r="K5" i="40" s="1"/>
  <c r="K7" i="40" s="1"/>
  <c r="K9" i="40" s="1"/>
  <c r="K13" i="40" s="1"/>
  <c r="K15" i="40" s="1"/>
  <c r="K17" i="40" s="1"/>
  <c r="K3" i="41" s="1"/>
  <c r="H23" i="40"/>
  <c r="N38" i="40"/>
  <c r="N6" i="41" s="1"/>
  <c r="X37" i="40"/>
  <c r="Y38" i="40"/>
  <c r="Y6" i="41" s="1"/>
  <c r="V38" i="40"/>
  <c r="V6" i="41" s="1"/>
  <c r="V9" i="41" s="1"/>
  <c r="V3" i="42" s="1"/>
  <c r="Q37" i="40"/>
  <c r="Q38" i="40"/>
  <c r="J37" i="40"/>
  <c r="T40" i="40"/>
  <c r="T5" i="40" s="1"/>
  <c r="T7" i="40" s="1"/>
  <c r="T9" i="40" s="1"/>
  <c r="T13" i="40" s="1"/>
  <c r="T15" i="40" s="1"/>
  <c r="T17" i="40" s="1"/>
  <c r="T3" i="41" s="1"/>
  <c r="H37" i="40"/>
  <c r="W38" i="40"/>
  <c r="W6" i="41" s="1"/>
  <c r="W9" i="41" s="1"/>
  <c r="W3" i="42" s="1"/>
  <c r="K38" i="40"/>
  <c r="K6" i="41" s="1"/>
  <c r="H38" i="40"/>
  <c r="H6" i="41" s="1"/>
  <c r="W37" i="40"/>
  <c r="J38" i="40"/>
  <c r="F37" i="40"/>
  <c r="Z21" i="40"/>
  <c r="Z38" i="40"/>
  <c r="X40" i="40"/>
  <c r="X5" i="40" s="1"/>
  <c r="X7" i="40" s="1"/>
  <c r="X9" i="40" s="1"/>
  <c r="X13" i="40" s="1"/>
  <c r="X15" i="40" s="1"/>
  <c r="X17" i="40" s="1"/>
  <c r="X3" i="41" s="1"/>
  <c r="S38" i="40"/>
  <c r="F38" i="40"/>
  <c r="AA38" i="40" s="1"/>
  <c r="H40" i="40"/>
  <c r="H5" i="40" s="1"/>
  <c r="H7" i="40" s="1"/>
  <c r="H9" i="40" s="1"/>
  <c r="H13" i="40" s="1"/>
  <c r="H15" i="40" s="1"/>
  <c r="H17" i="40" s="1"/>
  <c r="H3" i="41" s="1"/>
  <c r="G40" i="40"/>
  <c r="G5" i="40" s="1"/>
  <c r="G7" i="40" s="1"/>
  <c r="G9" i="40" s="1"/>
  <c r="G13" i="40" s="1"/>
  <c r="G15" i="40" s="1"/>
  <c r="G17" i="40" s="1"/>
  <c r="G3" i="41" s="1"/>
  <c r="R43" i="40"/>
  <c r="P40" i="40"/>
  <c r="P5" i="40" s="1"/>
  <c r="P7" i="40" s="1"/>
  <c r="P9" i="40" s="1"/>
  <c r="P13" i="40" s="1"/>
  <c r="P15" i="40" s="1"/>
  <c r="P17" i="40" s="1"/>
  <c r="P3" i="41" s="1"/>
  <c r="I40" i="40"/>
  <c r="I5" i="40" s="1"/>
  <c r="I7" i="40" s="1"/>
  <c r="I9" i="40" s="1"/>
  <c r="I13" i="40" s="1"/>
  <c r="I15" i="40" s="1"/>
  <c r="I17" i="40" s="1"/>
  <c r="I3" i="41" s="1"/>
  <c r="I9" i="41" s="1"/>
  <c r="AA32" i="40"/>
  <c r="P38" i="40"/>
  <c r="L38" i="40"/>
  <c r="L6" i="41" s="1"/>
  <c r="L9" i="41" s="1"/>
  <c r="L3" i="42" s="1"/>
  <c r="M38" i="40"/>
  <c r="D37" i="40"/>
  <c r="AA37" i="40" s="1"/>
  <c r="H20" i="28"/>
  <c r="H16" i="28"/>
  <c r="T21" i="40"/>
  <c r="T37" i="40"/>
  <c r="Z40" i="40"/>
  <c r="Z5" i="40" s="1"/>
  <c r="Z7" i="40" s="1"/>
  <c r="Z9" i="40" s="1"/>
  <c r="Z13" i="40" s="1"/>
  <c r="Z15" i="40" s="1"/>
  <c r="Z17" i="40" s="1"/>
  <c r="Z3" i="41" s="1"/>
  <c r="O40" i="40"/>
  <c r="O5" i="40" s="1"/>
  <c r="O7" i="40" s="1"/>
  <c r="O9" i="40" s="1"/>
  <c r="O13" i="40" s="1"/>
  <c r="O15" i="40" s="1"/>
  <c r="O17" i="40" s="1"/>
  <c r="O3" i="41" s="1"/>
  <c r="T38" i="40"/>
  <c r="O37" i="40"/>
  <c r="Z37" i="40"/>
  <c r="M37" i="40"/>
  <c r="S37" i="40"/>
  <c r="L37" i="40"/>
  <c r="N37" i="40"/>
  <c r="F40" i="40"/>
  <c r="F5" i="40" s="1"/>
  <c r="F7" i="40" s="1"/>
  <c r="F9" i="40" s="1"/>
  <c r="F13" i="40" s="1"/>
  <c r="F15" i="40" s="1"/>
  <c r="F17" i="40" s="1"/>
  <c r="F3" i="41" s="1"/>
  <c r="C40" i="40"/>
  <c r="AA33" i="40"/>
  <c r="O38" i="40"/>
  <c r="U21" i="40"/>
  <c r="U38" i="40"/>
  <c r="U37" i="40"/>
  <c r="P37" i="40"/>
  <c r="G37" i="40"/>
  <c r="U40" i="40"/>
  <c r="U5" i="40" s="1"/>
  <c r="U7" i="40" s="1"/>
  <c r="U9" i="40" s="1"/>
  <c r="U13" i="40" s="1"/>
  <c r="U15" i="40" s="1"/>
  <c r="U17" i="40" s="1"/>
  <c r="U3" i="41" s="1"/>
  <c r="G38" i="40"/>
  <c r="G23" i="40" s="1"/>
  <c r="S40" i="40"/>
  <c r="S5" i="40" s="1"/>
  <c r="S7" i="40" s="1"/>
  <c r="S9" i="40" s="1"/>
  <c r="S13" i="40" s="1"/>
  <c r="S15" i="40" s="1"/>
  <c r="S17" i="40" s="1"/>
  <c r="S3" i="41" s="1"/>
  <c r="U43" i="40"/>
  <c r="D40" i="40"/>
  <c r="D5" i="40" s="1"/>
  <c r="D7" i="40" s="1"/>
  <c r="D9" i="40" s="1"/>
  <c r="D13" i="40" s="1"/>
  <c r="D15" i="40" s="1"/>
  <c r="D17" i="40" s="1"/>
  <c r="D3" i="41" s="1"/>
  <c r="Y40" i="40"/>
  <c r="C22" i="40"/>
  <c r="AA34" i="40"/>
  <c r="W23" i="40"/>
  <c r="V23" i="40"/>
  <c r="W43" i="40"/>
  <c r="G6" i="41"/>
  <c r="L43" i="40"/>
  <c r="L23" i="40"/>
  <c r="V37" i="40"/>
  <c r="V43" i="40"/>
  <c r="I37" i="40"/>
  <c r="X38" i="40"/>
  <c r="X23" i="40" s="1"/>
  <c r="N40" i="40"/>
  <c r="N5" i="40" s="1"/>
  <c r="N7" i="40" s="1"/>
  <c r="N9" i="40" s="1"/>
  <c r="N13" i="40" s="1"/>
  <c r="N15" i="40" s="1"/>
  <c r="N17" i="40" s="1"/>
  <c r="N3" i="41" s="1"/>
  <c r="N9" i="41" s="1"/>
  <c r="R38" i="40"/>
  <c r="R37" i="40"/>
  <c r="Y23" i="40"/>
  <c r="T23" i="40"/>
  <c r="N23" i="40"/>
  <c r="D6" i="41"/>
  <c r="K23" i="40"/>
  <c r="Q43" i="40"/>
  <c r="J43" i="40"/>
  <c r="M43" i="40"/>
  <c r="Q23" i="40"/>
  <c r="Q6" i="41"/>
  <c r="Q9" i="41" s="1"/>
  <c r="E43" i="40"/>
  <c r="E23" i="40"/>
  <c r="E6" i="41"/>
  <c r="E9" i="41" s="1"/>
  <c r="J6" i="41"/>
  <c r="J9" i="41" s="1"/>
  <c r="J23" i="40"/>
  <c r="L32" i="17"/>
  <c r="K33" i="17"/>
  <c r="K40" i="17" s="1"/>
  <c r="M6" i="41"/>
  <c r="M9" i="41" s="1"/>
  <c r="M23" i="40"/>
  <c r="J40" i="17"/>
  <c r="H65" i="17"/>
  <c r="H71" i="17" s="1"/>
  <c r="H73" i="17" s="1"/>
  <c r="S23" i="40"/>
  <c r="S6" i="41"/>
  <c r="O6" i="41"/>
  <c r="O23" i="40"/>
  <c r="P6" i="41"/>
  <c r="P23" i="40"/>
  <c r="F6" i="41"/>
  <c r="F23" i="40"/>
  <c r="Q23" i="17"/>
  <c r="R20" i="17"/>
  <c r="N12" i="17"/>
  <c r="I15" i="48"/>
  <c r="I15" i="47"/>
  <c r="I15" i="25"/>
  <c r="I15" i="24"/>
  <c r="G9" i="17"/>
  <c r="F85" i="17"/>
  <c r="F86" i="17" s="1"/>
  <c r="C3" i="47"/>
  <c r="C8" i="47" s="1"/>
  <c r="D4" i="21"/>
  <c r="D7" i="21" s="1"/>
  <c r="C3" i="48"/>
  <c r="C8" i="48" s="1"/>
  <c r="C3" i="24"/>
  <c r="C8" i="24" s="1"/>
  <c r="C3" i="25"/>
  <c r="C8" i="25" s="1"/>
  <c r="H6" i="17"/>
  <c r="F27" i="20" s="1"/>
  <c r="Q19" i="17"/>
  <c r="R17" i="17"/>
  <c r="AA3" i="35"/>
  <c r="B9" i="35"/>
  <c r="AA9" i="35" s="1"/>
  <c r="F13" i="20"/>
  <c r="F26" i="20"/>
  <c r="R31" i="17"/>
  <c r="B5" i="40"/>
  <c r="F26" i="45"/>
  <c r="F25" i="20"/>
  <c r="E14" i="15"/>
  <c r="C20" i="29"/>
  <c r="C20" i="49"/>
  <c r="F88" i="44"/>
  <c r="F92" i="44"/>
  <c r="P10" i="45"/>
  <c r="S44" i="17"/>
  <c r="P9" i="20"/>
  <c r="K4" i="46"/>
  <c r="J6" i="46"/>
  <c r="I5" i="25"/>
  <c r="J6" i="21"/>
  <c r="I5" i="24"/>
  <c r="N8" i="17"/>
  <c r="I5" i="47"/>
  <c r="I5" i="48"/>
  <c r="G5" i="46"/>
  <c r="G7" i="46" s="1"/>
  <c r="H28" i="45"/>
  <c r="F4" i="25"/>
  <c r="F4" i="48"/>
  <c r="F4" i="47"/>
  <c r="K7" i="17"/>
  <c r="F4" i="24"/>
  <c r="G5" i="21"/>
  <c r="K9" i="41" l="1"/>
  <c r="K3" i="42" s="1"/>
  <c r="T6" i="41"/>
  <c r="K3" i="50"/>
  <c r="D43" i="40"/>
  <c r="K43" i="40"/>
  <c r="S43" i="40"/>
  <c r="F43" i="40"/>
  <c r="T9" i="41"/>
  <c r="T3" i="50" s="1"/>
  <c r="D9" i="41"/>
  <c r="D3" i="50" s="1"/>
  <c r="H9" i="41"/>
  <c r="H3" i="42" s="1"/>
  <c r="L3" i="50"/>
  <c r="X43" i="40"/>
  <c r="P43" i="40"/>
  <c r="G9" i="41"/>
  <c r="G3" i="50" s="1"/>
  <c r="S9" i="41"/>
  <c r="S3" i="50" s="1"/>
  <c r="O43" i="40"/>
  <c r="T43" i="40"/>
  <c r="I3" i="50"/>
  <c r="I3" i="42"/>
  <c r="C5" i="40"/>
  <c r="C7" i="40" s="1"/>
  <c r="C9" i="40" s="1"/>
  <c r="C13" i="40" s="1"/>
  <c r="C15" i="40" s="1"/>
  <c r="C17" i="40" s="1"/>
  <c r="C3" i="41" s="1"/>
  <c r="C43" i="40"/>
  <c r="AA44" i="40"/>
  <c r="H43" i="40"/>
  <c r="O9" i="41"/>
  <c r="O3" i="42" s="1"/>
  <c r="AA22" i="40"/>
  <c r="C7" i="41"/>
  <c r="Z43" i="40"/>
  <c r="U23" i="40"/>
  <c r="U6" i="41"/>
  <c r="U9" i="41" s="1"/>
  <c r="AA40" i="40"/>
  <c r="AA43" i="40" s="1"/>
  <c r="G43" i="40"/>
  <c r="C23" i="40"/>
  <c r="I16" i="28"/>
  <c r="I20" i="28"/>
  <c r="W3" i="50"/>
  <c r="F9" i="41"/>
  <c r="F3" i="50" s="1"/>
  <c r="I43" i="40"/>
  <c r="Z23" i="40"/>
  <c r="Z6" i="41"/>
  <c r="Z9" i="41" s="1"/>
  <c r="Y5" i="40"/>
  <c r="Y7" i="40" s="1"/>
  <c r="Y9" i="40" s="1"/>
  <c r="Y13" i="40" s="1"/>
  <c r="Y15" i="40" s="1"/>
  <c r="Y17" i="40" s="1"/>
  <c r="Y3" i="41" s="1"/>
  <c r="Y9" i="41" s="1"/>
  <c r="Y43" i="40"/>
  <c r="V3" i="50"/>
  <c r="X6" i="41"/>
  <c r="X9" i="41" s="1"/>
  <c r="N43" i="40"/>
  <c r="N3" i="50"/>
  <c r="N3" i="42"/>
  <c r="R23" i="40"/>
  <c r="R6" i="41"/>
  <c r="R9" i="41" s="1"/>
  <c r="M3" i="50"/>
  <c r="M3" i="42"/>
  <c r="H10" i="20"/>
  <c r="I10" i="20" s="1"/>
  <c r="J3" i="42"/>
  <c r="J3" i="50"/>
  <c r="F29" i="45"/>
  <c r="E3" i="50"/>
  <c r="E3" i="42"/>
  <c r="H80" i="17"/>
  <c r="H75" i="17"/>
  <c r="H76" i="17" s="1"/>
  <c r="F28" i="20"/>
  <c r="M32" i="17"/>
  <c r="L33" i="17"/>
  <c r="P9" i="41"/>
  <c r="Q3" i="42"/>
  <c r="Q12" i="42" s="1"/>
  <c r="Q14" i="42" s="1"/>
  <c r="Q3" i="50"/>
  <c r="D3" i="25"/>
  <c r="D8" i="25" s="1"/>
  <c r="D3" i="48"/>
  <c r="D8" i="48" s="1"/>
  <c r="D3" i="47"/>
  <c r="D8" i="47" s="1"/>
  <c r="D3" i="24"/>
  <c r="D8" i="24" s="1"/>
  <c r="E4" i="21"/>
  <c r="E7" i="21" s="1"/>
  <c r="I6" i="17"/>
  <c r="G27" i="20" s="1"/>
  <c r="C15" i="15"/>
  <c r="B7" i="40"/>
  <c r="F87" i="17"/>
  <c r="F89" i="17"/>
  <c r="H9" i="17"/>
  <c r="G85" i="17"/>
  <c r="G86" i="17" s="1"/>
  <c r="C22" i="49"/>
  <c r="D20" i="49"/>
  <c r="D20" i="29"/>
  <c r="C22" i="29"/>
  <c r="S31" i="17"/>
  <c r="O12" i="17"/>
  <c r="J15" i="47"/>
  <c r="J15" i="48"/>
  <c r="J15" i="24"/>
  <c r="J15" i="25"/>
  <c r="S17" i="17"/>
  <c r="R19" i="17"/>
  <c r="S20" i="17"/>
  <c r="R23" i="17"/>
  <c r="AA21" i="40"/>
  <c r="B6" i="41"/>
  <c r="F93" i="44"/>
  <c r="T44" i="17"/>
  <c r="Q9" i="20"/>
  <c r="Q10" i="45"/>
  <c r="D9" i="46"/>
  <c r="D10" i="46" s="1"/>
  <c r="D12" i="46" s="1"/>
  <c r="D13" i="46" s="1"/>
  <c r="L7" i="17"/>
  <c r="G4" i="24"/>
  <c r="G4" i="48"/>
  <c r="G4" i="25"/>
  <c r="H5" i="21"/>
  <c r="G4" i="47"/>
  <c r="L4" i="46"/>
  <c r="O8" i="17"/>
  <c r="J5" i="25"/>
  <c r="J5" i="24"/>
  <c r="J5" i="48"/>
  <c r="K6" i="21"/>
  <c r="J5" i="47"/>
  <c r="K6" i="46"/>
  <c r="I28" i="45"/>
  <c r="H5" i="46"/>
  <c r="H7" i="46" s="1"/>
  <c r="H3" i="50" l="1"/>
  <c r="S3" i="42"/>
  <c r="D3" i="42"/>
  <c r="T3" i="42"/>
  <c r="F3" i="42"/>
  <c r="AA5" i="40"/>
  <c r="G3" i="42"/>
  <c r="B4" i="28"/>
  <c r="D4" i="28" s="1"/>
  <c r="AA7" i="41"/>
  <c r="C9" i="41"/>
  <c r="O3" i="50"/>
  <c r="Y3" i="50"/>
  <c r="Y3" i="42"/>
  <c r="U3" i="42"/>
  <c r="U3" i="50"/>
  <c r="Z3" i="50"/>
  <c r="Z3" i="42"/>
  <c r="AA23" i="40"/>
  <c r="AA6" i="41"/>
  <c r="X3" i="50"/>
  <c r="X3" i="42"/>
  <c r="R3" i="42"/>
  <c r="R3" i="50"/>
  <c r="L40" i="17"/>
  <c r="P3" i="50"/>
  <c r="P3" i="42"/>
  <c r="N32" i="17"/>
  <c r="M33" i="17"/>
  <c r="M40" i="17" s="1"/>
  <c r="S19" i="17"/>
  <c r="T17" i="17"/>
  <c r="F88" i="17"/>
  <c r="F93" i="17" s="1"/>
  <c r="D97" i="17" s="1"/>
  <c r="F41" i="13" s="1"/>
  <c r="F92" i="17"/>
  <c r="E97" i="17" s="1"/>
  <c r="I49" i="17"/>
  <c r="D15" i="15"/>
  <c r="T20" i="17"/>
  <c r="S23" i="17"/>
  <c r="E3" i="48"/>
  <c r="E8" i="48" s="1"/>
  <c r="E3" i="25"/>
  <c r="E8" i="25" s="1"/>
  <c r="J6" i="17"/>
  <c r="H27" i="20" s="1"/>
  <c r="E3" i="24"/>
  <c r="E8" i="24" s="1"/>
  <c r="E3" i="47"/>
  <c r="E8" i="47" s="1"/>
  <c r="F4" i="21"/>
  <c r="F7" i="21" s="1"/>
  <c r="T31" i="17"/>
  <c r="E20" i="29"/>
  <c r="P12" i="17"/>
  <c r="K15" i="24"/>
  <c r="K15" i="25"/>
  <c r="K15" i="48"/>
  <c r="K15" i="47"/>
  <c r="E20" i="49"/>
  <c r="D22" i="29"/>
  <c r="G89" i="17"/>
  <c r="G87" i="17"/>
  <c r="B9" i="40"/>
  <c r="AA9" i="40" s="1"/>
  <c r="AA7" i="40"/>
  <c r="D22" i="49"/>
  <c r="E22" i="49" s="1"/>
  <c r="H85" i="17"/>
  <c r="H86" i="17" s="1"/>
  <c r="I9" i="17"/>
  <c r="R9" i="20"/>
  <c r="U44" i="17"/>
  <c r="R10" i="45"/>
  <c r="E8" i="45"/>
  <c r="E16" i="45" s="1"/>
  <c r="E31" i="45" s="1"/>
  <c r="E9" i="46"/>
  <c r="E10" i="46" s="1"/>
  <c r="E12" i="46" s="1"/>
  <c r="E13" i="46" s="1"/>
  <c r="K5" i="48"/>
  <c r="L6" i="21"/>
  <c r="K5" i="47"/>
  <c r="K5" i="25"/>
  <c r="P8" i="17"/>
  <c r="K5" i="24"/>
  <c r="J28" i="45"/>
  <c r="I5" i="46"/>
  <c r="I7" i="46" s="1"/>
  <c r="M4" i="46"/>
  <c r="L6" i="46"/>
  <c r="H4" i="47"/>
  <c r="H4" i="48"/>
  <c r="I5" i="21"/>
  <c r="H4" i="25"/>
  <c r="M7" i="17"/>
  <c r="H4" i="24"/>
  <c r="D6" i="28" l="1"/>
  <c r="B12" i="28" s="1"/>
  <c r="D12" i="28" s="1"/>
  <c r="C4" i="49"/>
  <c r="C4" i="29"/>
  <c r="C3" i="50"/>
  <c r="C3" i="42"/>
  <c r="B13" i="40"/>
  <c r="AA13" i="40" s="1"/>
  <c r="I65" i="17"/>
  <c r="I71" i="17" s="1"/>
  <c r="I73" i="17" s="1"/>
  <c r="O32" i="17"/>
  <c r="N33" i="17"/>
  <c r="N40" i="17" s="1"/>
  <c r="J10" i="20"/>
  <c r="K10" i="20" s="1"/>
  <c r="K6" i="17"/>
  <c r="I27" i="20" s="1"/>
  <c r="F3" i="47"/>
  <c r="F8" i="47" s="1"/>
  <c r="F3" i="25"/>
  <c r="F8" i="25" s="1"/>
  <c r="F3" i="48"/>
  <c r="F8" i="48" s="1"/>
  <c r="G4" i="21"/>
  <c r="G7" i="21" s="1"/>
  <c r="F3" i="24"/>
  <c r="F8" i="24" s="1"/>
  <c r="I85" i="17"/>
  <c r="I86" i="17" s="1"/>
  <c r="J9" i="17"/>
  <c r="T23" i="17"/>
  <c r="U20" i="17"/>
  <c r="G26" i="20"/>
  <c r="G13" i="20"/>
  <c r="L15" i="24"/>
  <c r="L15" i="47"/>
  <c r="L15" i="25"/>
  <c r="Q12" i="17"/>
  <c r="L15" i="48"/>
  <c r="G26" i="45"/>
  <c r="G25" i="20"/>
  <c r="E15" i="15"/>
  <c r="T12" i="42"/>
  <c r="T14" i="42" s="1"/>
  <c r="Q9" i="50"/>
  <c r="Q12" i="50" s="1"/>
  <c r="Q14" i="50" s="1"/>
  <c r="P9" i="50"/>
  <c r="P12" i="50" s="1"/>
  <c r="P14" i="50" s="1"/>
  <c r="T9" i="50"/>
  <c r="T12" i="50" s="1"/>
  <c r="T14" i="50" s="1"/>
  <c r="O12" i="42"/>
  <c r="O14" i="42" s="1"/>
  <c r="C7" i="36"/>
  <c r="C9" i="36" s="1"/>
  <c r="C3" i="36" s="1"/>
  <c r="C10" i="35" s="1"/>
  <c r="K7" i="36"/>
  <c r="K9" i="36" s="1"/>
  <c r="K3" i="36" s="1"/>
  <c r="K10" i="35" s="1"/>
  <c r="F7" i="36"/>
  <c r="F9" i="36" s="1"/>
  <c r="F3" i="36" s="1"/>
  <c r="F10" i="35" s="1"/>
  <c r="C35" i="19"/>
  <c r="D35" i="19" s="1"/>
  <c r="V7" i="36"/>
  <c r="V9" i="36" s="1"/>
  <c r="V3" i="36" s="1"/>
  <c r="V10" i="35" s="1"/>
  <c r="H7" i="36"/>
  <c r="H9" i="36" s="1"/>
  <c r="H3" i="36" s="1"/>
  <c r="H10" i="35" s="1"/>
  <c r="G7" i="36"/>
  <c r="G9" i="36" s="1"/>
  <c r="G3" i="36" s="1"/>
  <c r="G10" i="35" s="1"/>
  <c r="V9" i="50"/>
  <c r="V12" i="50" s="1"/>
  <c r="V14" i="50" s="1"/>
  <c r="W12" i="42"/>
  <c r="W14" i="42" s="1"/>
  <c r="S9" i="50"/>
  <c r="S12" i="50" s="1"/>
  <c r="S14" i="50" s="1"/>
  <c r="X12" i="42"/>
  <c r="X14" i="42" s="1"/>
  <c r="F12" i="42"/>
  <c r="F14" i="42" s="1"/>
  <c r="J7" i="36"/>
  <c r="J9" i="36" s="1"/>
  <c r="J3" i="36" s="1"/>
  <c r="J10" i="35" s="1"/>
  <c r="B38" i="29"/>
  <c r="C38" i="29" s="1"/>
  <c r="Q7" i="36"/>
  <c r="Q9" i="36" s="1"/>
  <c r="Q3" i="36" s="1"/>
  <c r="Q10" i="35" s="1"/>
  <c r="R7" i="36"/>
  <c r="R9" i="36" s="1"/>
  <c r="R3" i="36" s="1"/>
  <c r="R10" i="35" s="1"/>
  <c r="N12" i="42"/>
  <c r="N14" i="42" s="1"/>
  <c r="U7" i="36"/>
  <c r="U9" i="36" s="1"/>
  <c r="U3" i="36" s="1"/>
  <c r="U10" i="35" s="1"/>
  <c r="D9" i="50"/>
  <c r="D12" i="50" s="1"/>
  <c r="D14" i="50" s="1"/>
  <c r="W7" i="36"/>
  <c r="W9" i="36" s="1"/>
  <c r="W3" i="36" s="1"/>
  <c r="W10" i="35" s="1"/>
  <c r="E7" i="36"/>
  <c r="E9" i="36" s="1"/>
  <c r="E3" i="36" s="1"/>
  <c r="E10" i="35" s="1"/>
  <c r="Y12" i="42"/>
  <c r="Y14" i="42" s="1"/>
  <c r="I7" i="36"/>
  <c r="I9" i="36" s="1"/>
  <c r="I3" i="36" s="1"/>
  <c r="I10" i="35" s="1"/>
  <c r="E9" i="50"/>
  <c r="E12" i="50" s="1"/>
  <c r="E14" i="50" s="1"/>
  <c r="G12" i="42"/>
  <c r="G14" i="42" s="1"/>
  <c r="W9" i="50"/>
  <c r="W12" i="50" s="1"/>
  <c r="W14" i="50" s="1"/>
  <c r="B7" i="36"/>
  <c r="Z9" i="50"/>
  <c r="Z12" i="50" s="1"/>
  <c r="Z14" i="50" s="1"/>
  <c r="S12" i="42"/>
  <c r="S14" i="42" s="1"/>
  <c r="J9" i="50"/>
  <c r="J12" i="50" s="1"/>
  <c r="J14" i="50" s="1"/>
  <c r="R12" i="42"/>
  <c r="R14" i="42" s="1"/>
  <c r="Y9" i="50"/>
  <c r="Y12" i="50" s="1"/>
  <c r="Y14" i="50" s="1"/>
  <c r="J12" i="42"/>
  <c r="J14" i="42" s="1"/>
  <c r="L12" i="42"/>
  <c r="L14" i="42" s="1"/>
  <c r="T7" i="36"/>
  <c r="T9" i="36" s="1"/>
  <c r="T3" i="36" s="1"/>
  <c r="T10" i="35" s="1"/>
  <c r="O9" i="50"/>
  <c r="O12" i="50" s="1"/>
  <c r="O14" i="50" s="1"/>
  <c r="N7" i="36"/>
  <c r="N9" i="36" s="1"/>
  <c r="N3" i="36" s="1"/>
  <c r="N10" i="35" s="1"/>
  <c r="P12" i="42"/>
  <c r="P14" i="42" s="1"/>
  <c r="Z12" i="42"/>
  <c r="Z14" i="42" s="1"/>
  <c r="X9" i="50"/>
  <c r="X12" i="50" s="1"/>
  <c r="X14" i="50" s="1"/>
  <c r="D7" i="36"/>
  <c r="D9" i="36" s="1"/>
  <c r="D3" i="36" s="1"/>
  <c r="D10" i="35" s="1"/>
  <c r="M12" i="42"/>
  <c r="M14" i="42" s="1"/>
  <c r="C12" i="42"/>
  <c r="C14" i="42" s="1"/>
  <c r="P7" i="36"/>
  <c r="P9" i="36" s="1"/>
  <c r="P3" i="36" s="1"/>
  <c r="P10" i="35" s="1"/>
  <c r="X7" i="36"/>
  <c r="X9" i="36" s="1"/>
  <c r="X3" i="36" s="1"/>
  <c r="X10" i="35" s="1"/>
  <c r="E12" i="42"/>
  <c r="E14" i="42" s="1"/>
  <c r="V12" i="42"/>
  <c r="V14" i="42" s="1"/>
  <c r="H9" i="50"/>
  <c r="H12" i="50" s="1"/>
  <c r="H14" i="50" s="1"/>
  <c r="M9" i="50"/>
  <c r="M12" i="50" s="1"/>
  <c r="M14" i="50" s="1"/>
  <c r="I9" i="50"/>
  <c r="I12" i="50" s="1"/>
  <c r="I14" i="50" s="1"/>
  <c r="Z7" i="36"/>
  <c r="Z9" i="36" s="1"/>
  <c r="Z3" i="36" s="1"/>
  <c r="Z10" i="35" s="1"/>
  <c r="U9" i="50"/>
  <c r="U12" i="50" s="1"/>
  <c r="U14" i="50" s="1"/>
  <c r="G9" i="50"/>
  <c r="G12" i="50" s="1"/>
  <c r="G14" i="50" s="1"/>
  <c r="S7" i="36"/>
  <c r="S9" i="36" s="1"/>
  <c r="S3" i="36" s="1"/>
  <c r="S10" i="35" s="1"/>
  <c r="F9" i="50"/>
  <c r="F12" i="50" s="1"/>
  <c r="F14" i="50" s="1"/>
  <c r="U12" i="42"/>
  <c r="U14" i="42" s="1"/>
  <c r="L9" i="50"/>
  <c r="L12" i="50" s="1"/>
  <c r="L14" i="50" s="1"/>
  <c r="Y7" i="36"/>
  <c r="Y9" i="36" s="1"/>
  <c r="Y3" i="36" s="1"/>
  <c r="Y10" i="35" s="1"/>
  <c r="K9" i="50"/>
  <c r="K12" i="50" s="1"/>
  <c r="K14" i="50" s="1"/>
  <c r="N9" i="50"/>
  <c r="N12" i="50" s="1"/>
  <c r="N14" i="50" s="1"/>
  <c r="K12" i="42"/>
  <c r="K14" i="42" s="1"/>
  <c r="R9" i="50"/>
  <c r="R12" i="50" s="1"/>
  <c r="R14" i="50" s="1"/>
  <c r="H12" i="42"/>
  <c r="H14" i="42" s="1"/>
  <c r="M7" i="36"/>
  <c r="M9" i="36" s="1"/>
  <c r="M3" i="36" s="1"/>
  <c r="M10" i="35" s="1"/>
  <c r="L7" i="36"/>
  <c r="L9" i="36" s="1"/>
  <c r="L3" i="36" s="1"/>
  <c r="L10" i="35" s="1"/>
  <c r="C9" i="50"/>
  <c r="I12" i="42"/>
  <c r="I14" i="42" s="1"/>
  <c r="D12" i="42"/>
  <c r="D14" i="42" s="1"/>
  <c r="O7" i="36"/>
  <c r="O9" i="36" s="1"/>
  <c r="O3" i="36" s="1"/>
  <c r="O10" i="35" s="1"/>
  <c r="U31" i="17"/>
  <c r="T19" i="17"/>
  <c r="U17" i="17"/>
  <c r="H89" i="17"/>
  <c r="H87" i="17"/>
  <c r="G88" i="17"/>
  <c r="G93" i="17" s="1"/>
  <c r="G11" i="17" s="1"/>
  <c r="G92" i="17"/>
  <c r="E22" i="29"/>
  <c r="S10" i="45"/>
  <c r="S9" i="20"/>
  <c r="V44" i="17"/>
  <c r="G9" i="46"/>
  <c r="G10" i="46" s="1"/>
  <c r="G12" i="46" s="1"/>
  <c r="G13" i="46" s="1"/>
  <c r="H8" i="45"/>
  <c r="F9" i="46"/>
  <c r="F10" i="46" s="1"/>
  <c r="F12" i="46" s="1"/>
  <c r="F13" i="46" s="1"/>
  <c r="E30" i="45"/>
  <c r="E33" i="45" s="1"/>
  <c r="E34" i="45" s="1"/>
  <c r="E35" i="45"/>
  <c r="F8" i="45"/>
  <c r="F16" i="45" s="1"/>
  <c r="F31" i="45" s="1"/>
  <c r="D62" i="44"/>
  <c r="C9" i="46"/>
  <c r="K28" i="45"/>
  <c r="J5" i="46"/>
  <c r="J7" i="46" s="1"/>
  <c r="L5" i="48"/>
  <c r="Q8" i="17"/>
  <c r="L5" i="47"/>
  <c r="L5" i="24"/>
  <c r="L5" i="25"/>
  <c r="M6" i="21"/>
  <c r="I4" i="47"/>
  <c r="J5" i="21"/>
  <c r="N7" i="17"/>
  <c r="I4" i="25"/>
  <c r="I4" i="48"/>
  <c r="I4" i="24"/>
  <c r="N4" i="46"/>
  <c r="M6" i="46"/>
  <c r="C12" i="50" l="1"/>
  <c r="C14" i="50" s="1"/>
  <c r="C6" i="29"/>
  <c r="D4" i="29"/>
  <c r="E4" i="29" s="1"/>
  <c r="D4" i="49"/>
  <c r="E4" i="49" s="1"/>
  <c r="C6" i="49"/>
  <c r="D17" i="28"/>
  <c r="B19" i="28" s="1"/>
  <c r="D19" i="28" s="1"/>
  <c r="C8" i="29"/>
  <c r="D8" i="29" s="1"/>
  <c r="E8" i="29" s="1"/>
  <c r="C8" i="49"/>
  <c r="D8" i="49" s="1"/>
  <c r="E8" i="49" s="1"/>
  <c r="B15" i="40"/>
  <c r="AA15" i="40" s="1"/>
  <c r="D11" i="17"/>
  <c r="D37" i="19"/>
  <c r="G28" i="20"/>
  <c r="G29" i="45"/>
  <c r="L10" i="20"/>
  <c r="P32" i="17"/>
  <c r="O33" i="17"/>
  <c r="O40" i="17" s="1"/>
  <c r="I80" i="17"/>
  <c r="I75" i="17"/>
  <c r="I76" i="17" s="1"/>
  <c r="G12" i="35"/>
  <c r="G20" i="33"/>
  <c r="G21" i="33" s="1"/>
  <c r="G24" i="33" s="1"/>
  <c r="AA7" i="36"/>
  <c r="B9" i="36"/>
  <c r="P20" i="33"/>
  <c r="P21" i="33" s="1"/>
  <c r="P24" i="33" s="1"/>
  <c r="P12" i="35"/>
  <c r="H12" i="35"/>
  <c r="H20" i="33"/>
  <c r="H21" i="33" s="1"/>
  <c r="H24" i="33" s="1"/>
  <c r="I20" i="33"/>
  <c r="I21" i="33" s="1"/>
  <c r="I24" i="33" s="1"/>
  <c r="I12" i="35"/>
  <c r="V12" i="35"/>
  <c r="V20" i="33"/>
  <c r="V21" i="33" s="1"/>
  <c r="V24" i="33" s="1"/>
  <c r="D12" i="35"/>
  <c r="D20" i="33"/>
  <c r="D21" i="33" s="1"/>
  <c r="D24" i="33" s="1"/>
  <c r="V20" i="17"/>
  <c r="U23" i="17"/>
  <c r="V17" i="17"/>
  <c r="U19" i="17"/>
  <c r="E12" i="35"/>
  <c r="E20" i="33"/>
  <c r="E21" i="33" s="1"/>
  <c r="E24" i="33" s="1"/>
  <c r="F20" i="33"/>
  <c r="F21" i="33" s="1"/>
  <c r="F24" i="33" s="1"/>
  <c r="F12" i="35"/>
  <c r="AA7" i="42"/>
  <c r="AA9" i="42"/>
  <c r="W20" i="33"/>
  <c r="W21" i="33" s="1"/>
  <c r="W24" i="33" s="1"/>
  <c r="W12" i="35"/>
  <c r="U20" i="33"/>
  <c r="U21" i="33" s="1"/>
  <c r="U24" i="33" s="1"/>
  <c r="U12" i="35"/>
  <c r="C12" i="35"/>
  <c r="C20" i="33"/>
  <c r="C21" i="33" s="1"/>
  <c r="C24" i="33" s="1"/>
  <c r="B9" i="50"/>
  <c r="AA9" i="50" s="1"/>
  <c r="T20" i="33"/>
  <c r="T21" i="33" s="1"/>
  <c r="T24" i="33" s="1"/>
  <c r="T12" i="35"/>
  <c r="R20" i="33"/>
  <c r="R21" i="33" s="1"/>
  <c r="R24" i="33" s="1"/>
  <c r="R12" i="35"/>
  <c r="L20" i="33"/>
  <c r="L21" i="33" s="1"/>
  <c r="L24" i="33" s="1"/>
  <c r="L12" i="35"/>
  <c r="K12" i="35"/>
  <c r="K20" i="33"/>
  <c r="K21" i="33" s="1"/>
  <c r="K24" i="33" s="1"/>
  <c r="Q12" i="35"/>
  <c r="Q20" i="33"/>
  <c r="Q21" i="33" s="1"/>
  <c r="Q24" i="33" s="1"/>
  <c r="X20" i="33"/>
  <c r="X21" i="33" s="1"/>
  <c r="X24" i="33" s="1"/>
  <c r="X12" i="35"/>
  <c r="M20" i="33"/>
  <c r="M21" i="33" s="1"/>
  <c r="M24" i="33" s="1"/>
  <c r="M12" i="35"/>
  <c r="J85" i="17"/>
  <c r="J86" i="17" s="1"/>
  <c r="K9" i="17"/>
  <c r="C16" i="15"/>
  <c r="V31" i="17"/>
  <c r="Z20" i="33"/>
  <c r="Z21" i="33" s="1"/>
  <c r="Z24" i="33" s="1"/>
  <c r="Z12" i="35"/>
  <c r="J20" i="33"/>
  <c r="J21" i="33" s="1"/>
  <c r="J24" i="33" s="1"/>
  <c r="J12" i="35"/>
  <c r="C14" i="24"/>
  <c r="C16" i="24" s="1"/>
  <c r="C18" i="24" s="1"/>
  <c r="C14" i="47"/>
  <c r="C16" i="47" s="1"/>
  <c r="C18" i="47" s="1"/>
  <c r="G13" i="17"/>
  <c r="C14" i="25"/>
  <c r="C16" i="25" s="1"/>
  <c r="C18" i="25" s="1"/>
  <c r="C14" i="48"/>
  <c r="C16" i="48" s="1"/>
  <c r="C18" i="48" s="1"/>
  <c r="O12" i="35"/>
  <c r="O20" i="33"/>
  <c r="O21" i="33" s="1"/>
  <c r="O24" i="33" s="1"/>
  <c r="H4" i="21"/>
  <c r="H7" i="21" s="1"/>
  <c r="G3" i="25"/>
  <c r="G8" i="25" s="1"/>
  <c r="G3" i="48"/>
  <c r="G8" i="48" s="1"/>
  <c r="L6" i="17"/>
  <c r="J27" i="20" s="1"/>
  <c r="G3" i="47"/>
  <c r="G8" i="47" s="1"/>
  <c r="G3" i="24"/>
  <c r="G8" i="24" s="1"/>
  <c r="H88" i="17"/>
  <c r="H93" i="17" s="1"/>
  <c r="H11" i="17" s="1"/>
  <c r="H92" i="17"/>
  <c r="I89" i="17"/>
  <c r="I87" i="17"/>
  <c r="S20" i="33"/>
  <c r="S21" i="33" s="1"/>
  <c r="S24" i="33" s="1"/>
  <c r="S12" i="35"/>
  <c r="Y12" i="35"/>
  <c r="Y20" i="33"/>
  <c r="Y21" i="33" s="1"/>
  <c r="Y24" i="33" s="1"/>
  <c r="N20" i="33"/>
  <c r="N21" i="33" s="1"/>
  <c r="N24" i="33" s="1"/>
  <c r="N12" i="35"/>
  <c r="R12" i="17"/>
  <c r="M15" i="24"/>
  <c r="M15" i="47"/>
  <c r="M15" i="25"/>
  <c r="M15" i="48"/>
  <c r="D42" i="44"/>
  <c r="T9" i="20"/>
  <c r="W44" i="17"/>
  <c r="T10" i="45"/>
  <c r="F30" i="45"/>
  <c r="F33" i="45" s="1"/>
  <c r="F34" i="45" s="1"/>
  <c r="F35" i="45"/>
  <c r="C10" i="46"/>
  <c r="G8" i="45"/>
  <c r="G16" i="45" s="1"/>
  <c r="G31" i="45" s="1"/>
  <c r="D64" i="44"/>
  <c r="D66" i="44" s="1"/>
  <c r="O4" i="46"/>
  <c r="N6" i="46"/>
  <c r="J4" i="24"/>
  <c r="J4" i="47"/>
  <c r="J4" i="48"/>
  <c r="O7" i="17"/>
  <c r="K5" i="21"/>
  <c r="J4" i="25"/>
  <c r="M5" i="48"/>
  <c r="M5" i="47"/>
  <c r="M5" i="24"/>
  <c r="M5" i="25"/>
  <c r="N6" i="21"/>
  <c r="R8" i="17"/>
  <c r="L28" i="45"/>
  <c r="K5" i="46"/>
  <c r="K7" i="46" s="1"/>
  <c r="H16" i="45"/>
  <c r="D6" i="49" l="1"/>
  <c r="E6" i="49" s="1"/>
  <c r="C12" i="49"/>
  <c r="D12" i="49" s="1"/>
  <c r="E12" i="49" s="1"/>
  <c r="D21" i="28"/>
  <c r="C14" i="49"/>
  <c r="D14" i="49" s="1"/>
  <c r="E14" i="49" s="1"/>
  <c r="C14" i="29"/>
  <c r="D14" i="29" s="1"/>
  <c r="E14" i="29" s="1"/>
  <c r="D6" i="29"/>
  <c r="E6" i="29" s="1"/>
  <c r="C12" i="29"/>
  <c r="D12" i="29" s="1"/>
  <c r="E12" i="29" s="1"/>
  <c r="B17" i="40"/>
  <c r="B3" i="41" s="1"/>
  <c r="Q32" i="17"/>
  <c r="P33" i="17"/>
  <c r="P40" i="17" s="1"/>
  <c r="M10" i="20"/>
  <c r="F11" i="17"/>
  <c r="D13" i="17"/>
  <c r="D15" i="17" s="1"/>
  <c r="D42" i="17" s="1"/>
  <c r="D46" i="17" s="1"/>
  <c r="W31" i="17"/>
  <c r="J49" i="17"/>
  <c r="D16" i="15"/>
  <c r="V23" i="17"/>
  <c r="W20" i="17"/>
  <c r="K85" i="17"/>
  <c r="K86" i="17" s="1"/>
  <c r="L9" i="17"/>
  <c r="D14" i="48"/>
  <c r="D16" i="48" s="1"/>
  <c r="D18" i="48" s="1"/>
  <c r="D14" i="24"/>
  <c r="D16" i="24" s="1"/>
  <c r="D18" i="24" s="1"/>
  <c r="H13" i="17"/>
  <c r="D14" i="25"/>
  <c r="D16" i="25" s="1"/>
  <c r="D18" i="25" s="1"/>
  <c r="D14" i="47"/>
  <c r="D16" i="47" s="1"/>
  <c r="D18" i="47" s="1"/>
  <c r="H3" i="25"/>
  <c r="H8" i="25" s="1"/>
  <c r="H3" i="48"/>
  <c r="H8" i="48" s="1"/>
  <c r="M6" i="17"/>
  <c r="K27" i="20" s="1"/>
  <c r="I4" i="21"/>
  <c r="I7" i="21" s="1"/>
  <c r="H3" i="24"/>
  <c r="H8" i="24" s="1"/>
  <c r="H3" i="47"/>
  <c r="H8" i="47" s="1"/>
  <c r="J89" i="17"/>
  <c r="J87" i="17"/>
  <c r="G62" i="17"/>
  <c r="G64" i="17" s="1"/>
  <c r="G66" i="17" s="1"/>
  <c r="D9" i="21"/>
  <c r="D10" i="21" s="1"/>
  <c r="D12" i="21" s="1"/>
  <c r="D13" i="21" s="1"/>
  <c r="G15" i="17"/>
  <c r="G42" i="17" s="1"/>
  <c r="G46" i="17" s="1"/>
  <c r="G51" i="17" s="1"/>
  <c r="D32" i="47"/>
  <c r="C19" i="47"/>
  <c r="D32" i="24"/>
  <c r="C19" i="24"/>
  <c r="B3" i="36"/>
  <c r="AA9" i="36"/>
  <c r="S12" i="17"/>
  <c r="N15" i="48"/>
  <c r="N15" i="25"/>
  <c r="N15" i="47"/>
  <c r="N15" i="24"/>
  <c r="D32" i="25"/>
  <c r="C19" i="25"/>
  <c r="I88" i="17"/>
  <c r="I93" i="17" s="1"/>
  <c r="I11" i="17" s="1"/>
  <c r="I92" i="17"/>
  <c r="V19" i="17"/>
  <c r="W17" i="17"/>
  <c r="D46" i="44"/>
  <c r="D51" i="44" s="1"/>
  <c r="D57" i="44" s="1"/>
  <c r="U9" i="20"/>
  <c r="X44" i="17"/>
  <c r="U10" i="45"/>
  <c r="G35" i="45"/>
  <c r="G30" i="45"/>
  <c r="G33" i="45" s="1"/>
  <c r="G34" i="45" s="1"/>
  <c r="C12" i="46"/>
  <c r="C13" i="46" s="1"/>
  <c r="O6" i="46"/>
  <c r="N5" i="25"/>
  <c r="N5" i="24"/>
  <c r="N5" i="47"/>
  <c r="S8" i="17"/>
  <c r="N5" i="48"/>
  <c r="O6" i="21"/>
  <c r="K4" i="24"/>
  <c r="L5" i="21"/>
  <c r="K4" i="47"/>
  <c r="K4" i="48"/>
  <c r="K4" i="25"/>
  <c r="P7" i="17"/>
  <c r="M28" i="45"/>
  <c r="L5" i="46"/>
  <c r="L7" i="46" s="1"/>
  <c r="P4" i="46"/>
  <c r="H31" i="45"/>
  <c r="D30" i="28" l="1"/>
  <c r="D32" i="28"/>
  <c r="C16" i="29"/>
  <c r="C16" i="49"/>
  <c r="AA17" i="40"/>
  <c r="F13" i="17"/>
  <c r="B14" i="24"/>
  <c r="B16" i="24" s="1"/>
  <c r="B18" i="24" s="1"/>
  <c r="B14" i="25"/>
  <c r="B16" i="25" s="1"/>
  <c r="B18" i="25" s="1"/>
  <c r="B16" i="48"/>
  <c r="B18" i="48" s="1"/>
  <c r="B19" i="48" s="1"/>
  <c r="N10" i="20"/>
  <c r="AA3" i="41"/>
  <c r="B9" i="41"/>
  <c r="J65" i="17"/>
  <c r="J71" i="17" s="1"/>
  <c r="J73" i="17" s="1"/>
  <c r="R32" i="17"/>
  <c r="Q33" i="17"/>
  <c r="Q40" i="17" s="1"/>
  <c r="J4" i="21"/>
  <c r="J7" i="21" s="1"/>
  <c r="N6" i="17"/>
  <c r="L27" i="20" s="1"/>
  <c r="I3" i="48"/>
  <c r="I8" i="48" s="1"/>
  <c r="I3" i="25"/>
  <c r="I8" i="25" s="1"/>
  <c r="I3" i="47"/>
  <c r="I8" i="47" s="1"/>
  <c r="I3" i="24"/>
  <c r="I8" i="24" s="1"/>
  <c r="E32" i="47"/>
  <c r="D19" i="47"/>
  <c r="AA3" i="36"/>
  <c r="B10" i="35"/>
  <c r="H62" i="17"/>
  <c r="H64" i="17" s="1"/>
  <c r="H66" i="17" s="1"/>
  <c r="H15" i="17"/>
  <c r="H42" i="17" s="1"/>
  <c r="H46" i="17" s="1"/>
  <c r="H51" i="17" s="1"/>
  <c r="E9" i="21"/>
  <c r="E10" i="21" s="1"/>
  <c r="E12" i="21" s="1"/>
  <c r="E13" i="21" s="1"/>
  <c r="K87" i="17"/>
  <c r="K89" i="17"/>
  <c r="W19" i="17"/>
  <c r="X17" i="17"/>
  <c r="W23" i="17"/>
  <c r="X20" i="17"/>
  <c r="D19" i="25"/>
  <c r="E32" i="25"/>
  <c r="H26" i="45"/>
  <c r="H25" i="20"/>
  <c r="E16" i="15"/>
  <c r="H26" i="20"/>
  <c r="H13" i="20"/>
  <c r="J88" i="17"/>
  <c r="O15" i="48"/>
  <c r="O15" i="25"/>
  <c r="O15" i="24"/>
  <c r="T12" i="17"/>
  <c r="O15" i="47"/>
  <c r="D19" i="24"/>
  <c r="E32" i="24"/>
  <c r="E7" i="20"/>
  <c r="E15" i="20" s="1"/>
  <c r="E30" i="20" s="1"/>
  <c r="G53" i="17"/>
  <c r="G57" i="17" s="1"/>
  <c r="L85" i="17"/>
  <c r="L86" i="17" s="1"/>
  <c r="M9" i="17"/>
  <c r="E14" i="48"/>
  <c r="E16" i="48" s="1"/>
  <c r="E18" i="48" s="1"/>
  <c r="E14" i="47"/>
  <c r="E16" i="47" s="1"/>
  <c r="E18" i="47" s="1"/>
  <c r="E14" i="24"/>
  <c r="E16" i="24" s="1"/>
  <c r="E18" i="24" s="1"/>
  <c r="E14" i="25"/>
  <c r="E16" i="25" s="1"/>
  <c r="E18" i="25" s="1"/>
  <c r="I13" i="17"/>
  <c r="X31" i="17"/>
  <c r="Y44" i="17"/>
  <c r="V9" i="20"/>
  <c r="V10" i="45"/>
  <c r="H9" i="46"/>
  <c r="I9" i="46"/>
  <c r="I10" i="46" s="1"/>
  <c r="I12" i="46" s="1"/>
  <c r="I13" i="46" s="1"/>
  <c r="O5" i="25"/>
  <c r="P6" i="21"/>
  <c r="O5" i="48"/>
  <c r="O5" i="47"/>
  <c r="T8" i="17"/>
  <c r="O5" i="24"/>
  <c r="L4" i="24"/>
  <c r="L4" i="47"/>
  <c r="Q7" i="17"/>
  <c r="M5" i="21"/>
  <c r="L4" i="25"/>
  <c r="L4" i="48"/>
  <c r="P6" i="46"/>
  <c r="Q4" i="46"/>
  <c r="M5" i="46"/>
  <c r="M7" i="46" s="1"/>
  <c r="N28" i="45"/>
  <c r="H35" i="45"/>
  <c r="F22" i="49" l="1"/>
  <c r="C26" i="49"/>
  <c r="D26" i="49" s="1"/>
  <c r="D16" i="49"/>
  <c r="E16" i="49" s="1"/>
  <c r="F20" i="49"/>
  <c r="F21" i="49"/>
  <c r="C26" i="29"/>
  <c r="D26" i="29" s="1"/>
  <c r="D16" i="29"/>
  <c r="E16" i="29" s="1"/>
  <c r="F22" i="29"/>
  <c r="F21" i="29"/>
  <c r="F20" i="29"/>
  <c r="C25" i="49"/>
  <c r="D25" i="49" s="1"/>
  <c r="C25" i="29"/>
  <c r="D25" i="29" s="1"/>
  <c r="C32" i="47"/>
  <c r="B3" i="50"/>
  <c r="AA3" i="50" s="1"/>
  <c r="B3" i="42"/>
  <c r="AA9" i="41"/>
  <c r="C32" i="25"/>
  <c r="B19" i="25"/>
  <c r="S32" i="17"/>
  <c r="R33" i="17"/>
  <c r="R40" i="17" s="1"/>
  <c r="J75" i="17"/>
  <c r="J80" i="17"/>
  <c r="H28" i="20"/>
  <c r="B19" i="24"/>
  <c r="C32" i="24"/>
  <c r="O10" i="20"/>
  <c r="H29" i="45"/>
  <c r="H30" i="45" s="1"/>
  <c r="H33" i="45" s="1"/>
  <c r="F62" i="17"/>
  <c r="F64" i="17" s="1"/>
  <c r="F66" i="17" s="1"/>
  <c r="C9" i="21"/>
  <c r="C10" i="21" s="1"/>
  <c r="C12" i="21" s="1"/>
  <c r="C13" i="21" s="1"/>
  <c r="F15" i="17"/>
  <c r="F42" i="17" s="1"/>
  <c r="F46" i="17" s="1"/>
  <c r="F51" i="17" s="1"/>
  <c r="K88" i="17"/>
  <c r="F32" i="25"/>
  <c r="E19" i="25"/>
  <c r="E19" i="24"/>
  <c r="F32" i="24"/>
  <c r="C17" i="15"/>
  <c r="Y31" i="17"/>
  <c r="B20" i="33"/>
  <c r="B12" i="35"/>
  <c r="AA12" i="35" s="1"/>
  <c r="AA10" i="35"/>
  <c r="F32" i="47"/>
  <c r="E19" i="47"/>
  <c r="L89" i="17"/>
  <c r="L87" i="17"/>
  <c r="F9" i="21"/>
  <c r="F10" i="21" s="1"/>
  <c r="F12" i="21" s="1"/>
  <c r="F13" i="21" s="1"/>
  <c r="I62" i="17"/>
  <c r="I64" i="17" s="1"/>
  <c r="I66" i="17" s="1"/>
  <c r="I15" i="17"/>
  <c r="I42" i="17" s="1"/>
  <c r="I46" i="17" s="1"/>
  <c r="I51" i="17" s="1"/>
  <c r="F7" i="20"/>
  <c r="F15" i="20" s="1"/>
  <c r="F30" i="20" s="1"/>
  <c r="H53" i="17"/>
  <c r="H57" i="17" s="1"/>
  <c r="N9" i="17"/>
  <c r="M85" i="17"/>
  <c r="M86" i="17" s="1"/>
  <c r="E34" i="20"/>
  <c r="E29" i="20"/>
  <c r="E32" i="20" s="1"/>
  <c r="E33" i="20" s="1"/>
  <c r="Y17" i="17"/>
  <c r="X19" i="17"/>
  <c r="J3" i="47"/>
  <c r="J8" i="47" s="1"/>
  <c r="O6" i="17"/>
  <c r="M27" i="20" s="1"/>
  <c r="K4" i="21"/>
  <c r="K7" i="21" s="1"/>
  <c r="J3" i="24"/>
  <c r="J8" i="24" s="1"/>
  <c r="J3" i="48"/>
  <c r="J8" i="48" s="1"/>
  <c r="J3" i="25"/>
  <c r="J8" i="25" s="1"/>
  <c r="Y20" i="17"/>
  <c r="X23" i="17"/>
  <c r="U12" i="17"/>
  <c r="P15" i="24"/>
  <c r="P15" i="25"/>
  <c r="P15" i="47"/>
  <c r="P15" i="48"/>
  <c r="D8" i="45"/>
  <c r="D16" i="45" s="1"/>
  <c r="D31" i="45" s="1"/>
  <c r="D35" i="45" s="1"/>
  <c r="W10" i="45"/>
  <c r="Z44" i="17"/>
  <c r="W9" i="20"/>
  <c r="I8" i="45"/>
  <c r="I16" i="45" s="1"/>
  <c r="I31" i="45" s="1"/>
  <c r="H10" i="46"/>
  <c r="J8" i="45"/>
  <c r="J16" i="45" s="1"/>
  <c r="J31" i="45" s="1"/>
  <c r="N5" i="21"/>
  <c r="M4" i="24"/>
  <c r="M4" i="48"/>
  <c r="R7" i="17"/>
  <c r="M4" i="47"/>
  <c r="M4" i="25"/>
  <c r="R4" i="46"/>
  <c r="U8" i="17"/>
  <c r="P5" i="47"/>
  <c r="P5" i="25"/>
  <c r="Q6" i="21"/>
  <c r="P5" i="24"/>
  <c r="P5" i="48"/>
  <c r="Q6" i="46"/>
  <c r="N5" i="46"/>
  <c r="N7" i="46" s="1"/>
  <c r="O28" i="45"/>
  <c r="E25" i="49" l="1"/>
  <c r="D27" i="49"/>
  <c r="F25" i="49"/>
  <c r="D27" i="29"/>
  <c r="E25" i="29"/>
  <c r="F25" i="29"/>
  <c r="E26" i="49"/>
  <c r="F26" i="49"/>
  <c r="F26" i="29"/>
  <c r="E26" i="29"/>
  <c r="P10" i="20"/>
  <c r="B12" i="42"/>
  <c r="AA3" i="42"/>
  <c r="B12" i="50"/>
  <c r="AA12" i="50" s="1"/>
  <c r="AA14" i="50" s="1"/>
  <c r="J76" i="17"/>
  <c r="J93" i="17" s="1"/>
  <c r="J11" i="17" s="1"/>
  <c r="J92" i="17"/>
  <c r="D7" i="20"/>
  <c r="D15" i="20" s="1"/>
  <c r="D30" i="20" s="1"/>
  <c r="F53" i="17"/>
  <c r="F57" i="17" s="1"/>
  <c r="T32" i="17"/>
  <c r="S33" i="17"/>
  <c r="S40" i="17" s="1"/>
  <c r="M89" i="17"/>
  <c r="M87" i="17"/>
  <c r="N85" i="17"/>
  <c r="N86" i="17" s="1"/>
  <c r="O9" i="17"/>
  <c r="K49" i="17"/>
  <c r="K65" i="17" s="1"/>
  <c r="K71" i="17" s="1"/>
  <c r="K73" i="17" s="1"/>
  <c r="D17" i="15"/>
  <c r="V12" i="17"/>
  <c r="Q15" i="47"/>
  <c r="Q15" i="25"/>
  <c r="Q15" i="24"/>
  <c r="Q15" i="48"/>
  <c r="Z31" i="17"/>
  <c r="Y23" i="17"/>
  <c r="Z20" i="17"/>
  <c r="Z17" i="17"/>
  <c r="Y19" i="17"/>
  <c r="F29" i="20"/>
  <c r="F32" i="20" s="1"/>
  <c r="F33" i="20" s="1"/>
  <c r="F34" i="20"/>
  <c r="G7" i="20"/>
  <c r="G15" i="20" s="1"/>
  <c r="G30" i="20" s="1"/>
  <c r="I53" i="17"/>
  <c r="I57" i="17" s="1"/>
  <c r="P6" i="17"/>
  <c r="N27" i="20" s="1"/>
  <c r="K3" i="47"/>
  <c r="K8" i="47" s="1"/>
  <c r="K3" i="25"/>
  <c r="K8" i="25" s="1"/>
  <c r="K3" i="24"/>
  <c r="K8" i="24" s="1"/>
  <c r="K3" i="48"/>
  <c r="K8" i="48" s="1"/>
  <c r="L4" i="21"/>
  <c r="L7" i="21" s="1"/>
  <c r="L88" i="17"/>
  <c r="AA20" i="33"/>
  <c r="B21" i="33"/>
  <c r="D30" i="45"/>
  <c r="D33" i="45" s="1"/>
  <c r="D34" i="45" s="1"/>
  <c r="X9" i="20"/>
  <c r="AA44" i="17"/>
  <c r="X10" i="45"/>
  <c r="J9" i="46"/>
  <c r="I35" i="45"/>
  <c r="K9" i="46"/>
  <c r="K10" i="46" s="1"/>
  <c r="K12" i="46" s="1"/>
  <c r="K13" i="46" s="1"/>
  <c r="J35" i="45"/>
  <c r="H12" i="46"/>
  <c r="H13" i="46" s="1"/>
  <c r="N4" i="47"/>
  <c r="N4" i="48"/>
  <c r="O5" i="21"/>
  <c r="N4" i="24"/>
  <c r="S7" i="17"/>
  <c r="N4" i="25"/>
  <c r="R6" i="46"/>
  <c r="Q5" i="47"/>
  <c r="Q5" i="48"/>
  <c r="Q5" i="24"/>
  <c r="Q5" i="25"/>
  <c r="R6" i="21"/>
  <c r="V8" i="17"/>
  <c r="P28" i="45"/>
  <c r="O5" i="46"/>
  <c r="O7" i="46" s="1"/>
  <c r="S4" i="46"/>
  <c r="H34" i="45"/>
  <c r="B37" i="49" l="1"/>
  <c r="F27" i="49"/>
  <c r="E27" i="49"/>
  <c r="F27" i="29"/>
  <c r="B37" i="29"/>
  <c r="E27" i="29"/>
  <c r="Q10" i="20"/>
  <c r="K75" i="17"/>
  <c r="K80" i="17"/>
  <c r="U32" i="17"/>
  <c r="T33" i="17"/>
  <c r="T40" i="17" s="1"/>
  <c r="F14" i="25"/>
  <c r="F16" i="25" s="1"/>
  <c r="F18" i="25" s="1"/>
  <c r="J13" i="17"/>
  <c r="F14" i="47"/>
  <c r="F16" i="47" s="1"/>
  <c r="F18" i="47" s="1"/>
  <c r="F14" i="48"/>
  <c r="F16" i="48" s="1"/>
  <c r="F18" i="48" s="1"/>
  <c r="F14" i="24"/>
  <c r="F16" i="24" s="1"/>
  <c r="F18" i="24" s="1"/>
  <c r="B14" i="50"/>
  <c r="D34" i="20"/>
  <c r="D29" i="20"/>
  <c r="D32" i="20" s="1"/>
  <c r="D33" i="20" s="1"/>
  <c r="AA12" i="42"/>
  <c r="AA14" i="42" s="1"/>
  <c r="B14" i="42"/>
  <c r="G34" i="20"/>
  <c r="G29" i="20"/>
  <c r="G32" i="20" s="1"/>
  <c r="G33" i="20" s="1"/>
  <c r="AA17" i="17"/>
  <c r="Z19" i="17"/>
  <c r="AA20" i="17"/>
  <c r="Z23" i="17"/>
  <c r="L3" i="48"/>
  <c r="L8" i="48" s="1"/>
  <c r="Q6" i="17"/>
  <c r="O27" i="20" s="1"/>
  <c r="L3" i="47"/>
  <c r="L8" i="47" s="1"/>
  <c r="L3" i="25"/>
  <c r="L8" i="25" s="1"/>
  <c r="L3" i="24"/>
  <c r="L8" i="24" s="1"/>
  <c r="M4" i="21"/>
  <c r="M7" i="21" s="1"/>
  <c r="W12" i="17"/>
  <c r="R15" i="25"/>
  <c r="R15" i="47"/>
  <c r="R15" i="24"/>
  <c r="R15" i="48"/>
  <c r="I26" i="45"/>
  <c r="I25" i="20"/>
  <c r="E17" i="15"/>
  <c r="AA31" i="17"/>
  <c r="I13" i="20"/>
  <c r="I26" i="20"/>
  <c r="O85" i="17"/>
  <c r="O86" i="17" s="1"/>
  <c r="P9" i="17"/>
  <c r="N87" i="17"/>
  <c r="N89" i="17"/>
  <c r="AA21" i="33"/>
  <c r="B24" i="33"/>
  <c r="AA24" i="33" s="1"/>
  <c r="M88" i="17"/>
  <c r="Y10" i="45"/>
  <c r="AB44" i="17"/>
  <c r="Y9" i="20"/>
  <c r="L8" i="45"/>
  <c r="L16" i="45" s="1"/>
  <c r="L31" i="45" s="1"/>
  <c r="K8" i="45"/>
  <c r="K16" i="45" s="1"/>
  <c r="K31" i="45" s="1"/>
  <c r="J10" i="46"/>
  <c r="O4" i="24"/>
  <c r="P5" i="21"/>
  <c r="O4" i="47"/>
  <c r="T7" i="17"/>
  <c r="O4" i="25"/>
  <c r="O4" i="48"/>
  <c r="S6" i="46"/>
  <c r="R5" i="24"/>
  <c r="R5" i="25"/>
  <c r="W8" i="17"/>
  <c r="S6" i="21"/>
  <c r="R5" i="48"/>
  <c r="R5" i="47"/>
  <c r="T4" i="46"/>
  <c r="P5" i="46"/>
  <c r="P7" i="46" s="1"/>
  <c r="Q28" i="45"/>
  <c r="C37" i="29" l="1"/>
  <c r="C39" i="29" s="1"/>
  <c r="B39" i="29"/>
  <c r="B41" i="29" s="1"/>
  <c r="B39" i="49"/>
  <c r="B41" i="49" s="1"/>
  <c r="C37" i="49"/>
  <c r="C39" i="49" s="1"/>
  <c r="I29" i="45"/>
  <c r="I30" i="45" s="1"/>
  <c r="I33" i="45" s="1"/>
  <c r="I34" i="45" s="1"/>
  <c r="G32" i="47"/>
  <c r="F19" i="47"/>
  <c r="G9" i="21"/>
  <c r="G10" i="21" s="1"/>
  <c r="G12" i="21" s="1"/>
  <c r="G13" i="21" s="1"/>
  <c r="J62" i="17"/>
  <c r="J64" i="17" s="1"/>
  <c r="J66" i="17" s="1"/>
  <c r="J15" i="17"/>
  <c r="J42" i="17" s="1"/>
  <c r="J46" i="17" s="1"/>
  <c r="J51" i="17" s="1"/>
  <c r="G32" i="25"/>
  <c r="F19" i="25"/>
  <c r="K76" i="17"/>
  <c r="K93" i="17" s="1"/>
  <c r="K11" i="17" s="1"/>
  <c r="K92" i="17"/>
  <c r="R10" i="20"/>
  <c r="F19" i="24"/>
  <c r="G32" i="24"/>
  <c r="V32" i="17"/>
  <c r="U33" i="17"/>
  <c r="U40" i="17" s="1"/>
  <c r="I28" i="20"/>
  <c r="X12" i="17"/>
  <c r="S15" i="47"/>
  <c r="S15" i="48"/>
  <c r="S15" i="25"/>
  <c r="S15" i="24"/>
  <c r="R6" i="17"/>
  <c r="P27" i="20" s="1"/>
  <c r="M3" i="48"/>
  <c r="M8" i="48" s="1"/>
  <c r="M3" i="24"/>
  <c r="M8" i="24" s="1"/>
  <c r="N4" i="21"/>
  <c r="N7" i="21" s="1"/>
  <c r="M3" i="25"/>
  <c r="M8" i="25" s="1"/>
  <c r="M3" i="47"/>
  <c r="M8" i="47" s="1"/>
  <c r="C18" i="15"/>
  <c r="AB20" i="17"/>
  <c r="AA23" i="17"/>
  <c r="AB17" i="17"/>
  <c r="AA19" i="17"/>
  <c r="AB31" i="17"/>
  <c r="Q9" i="17"/>
  <c r="P85" i="17"/>
  <c r="P86" i="17" s="1"/>
  <c r="O89" i="17"/>
  <c r="O87" i="17"/>
  <c r="N88" i="17"/>
  <c r="Z10" i="45"/>
  <c r="Z9" i="20"/>
  <c r="AC44" i="17"/>
  <c r="J12" i="46"/>
  <c r="J13" i="46" s="1"/>
  <c r="K35" i="45"/>
  <c r="M9" i="46"/>
  <c r="M10" i="46" s="1"/>
  <c r="M12" i="46" s="1"/>
  <c r="M13" i="46" s="1"/>
  <c r="L9" i="46"/>
  <c r="L35" i="45"/>
  <c r="U4" i="46"/>
  <c r="Q5" i="21"/>
  <c r="P4" i="47"/>
  <c r="P4" i="48"/>
  <c r="P4" i="24"/>
  <c r="P4" i="25"/>
  <c r="U7" i="17"/>
  <c r="R28" i="45"/>
  <c r="Q5" i="46"/>
  <c r="Q7" i="46" s="1"/>
  <c r="T6" i="46"/>
  <c r="S5" i="48"/>
  <c r="S5" i="24"/>
  <c r="T6" i="21"/>
  <c r="X8" i="17"/>
  <c r="S5" i="47"/>
  <c r="S5" i="25"/>
  <c r="W32" i="17" l="1"/>
  <c r="V33" i="17"/>
  <c r="V40" i="17" s="1"/>
  <c r="S10" i="20"/>
  <c r="U65" i="17"/>
  <c r="U71" i="17" s="1"/>
  <c r="U73" i="17" s="1"/>
  <c r="G14" i="25"/>
  <c r="G16" i="25" s="1"/>
  <c r="G18" i="25" s="1"/>
  <c r="G14" i="47"/>
  <c r="G16" i="47" s="1"/>
  <c r="G18" i="47" s="1"/>
  <c r="K13" i="17"/>
  <c r="G14" i="48"/>
  <c r="G16" i="48" s="1"/>
  <c r="G18" i="48" s="1"/>
  <c r="G14" i="24"/>
  <c r="G16" i="24" s="1"/>
  <c r="G18" i="24" s="1"/>
  <c r="H7" i="20"/>
  <c r="H15" i="20" s="1"/>
  <c r="H30" i="20" s="1"/>
  <c r="J53" i="17"/>
  <c r="J57" i="17" s="1"/>
  <c r="AB23" i="17"/>
  <c r="AC20" i="17"/>
  <c r="L49" i="17"/>
  <c r="L65" i="17" s="1"/>
  <c r="L71" i="17" s="1"/>
  <c r="L73" i="17" s="1"/>
  <c r="D18" i="15"/>
  <c r="N3" i="47"/>
  <c r="N8" i="47" s="1"/>
  <c r="O4" i="21"/>
  <c r="O7" i="21" s="1"/>
  <c r="S6" i="17"/>
  <c r="Q27" i="20" s="1"/>
  <c r="N3" i="24"/>
  <c r="N8" i="24" s="1"/>
  <c r="N3" i="25"/>
  <c r="N8" i="25" s="1"/>
  <c r="N3" i="48"/>
  <c r="N8" i="48" s="1"/>
  <c r="AC17" i="17"/>
  <c r="AB19" i="17"/>
  <c r="AC31" i="17"/>
  <c r="O88" i="17"/>
  <c r="P89" i="17"/>
  <c r="P87" i="17"/>
  <c r="R9" i="17"/>
  <c r="Q85" i="17"/>
  <c r="Q86" i="17" s="1"/>
  <c r="Y12" i="17"/>
  <c r="T15" i="47"/>
  <c r="T15" i="48"/>
  <c r="T15" i="25"/>
  <c r="T15" i="24"/>
  <c r="AD44" i="17"/>
  <c r="AA9" i="20"/>
  <c r="AA10" i="45"/>
  <c r="M8" i="45"/>
  <c r="M16" i="45" s="1"/>
  <c r="M31" i="45" s="1"/>
  <c r="L10" i="46"/>
  <c r="N8" i="45"/>
  <c r="N16" i="45" s="1"/>
  <c r="N31" i="45" s="1"/>
  <c r="R5" i="21"/>
  <c r="Q4" i="25"/>
  <c r="Q4" i="47"/>
  <c r="Q4" i="24"/>
  <c r="V7" i="17"/>
  <c r="Q4" i="48"/>
  <c r="V4" i="46"/>
  <c r="U6" i="46"/>
  <c r="R5" i="46"/>
  <c r="R7" i="46" s="1"/>
  <c r="S28" i="45"/>
  <c r="S29" i="45" s="1"/>
  <c r="Y8" i="17"/>
  <c r="T5" i="25"/>
  <c r="T5" i="24"/>
  <c r="T5" i="47"/>
  <c r="U6" i="21"/>
  <c r="T5" i="48"/>
  <c r="G19" i="47" l="1"/>
  <c r="H32" i="47"/>
  <c r="U75" i="17"/>
  <c r="U76" i="17" s="1"/>
  <c r="U80" i="17"/>
  <c r="G19" i="24"/>
  <c r="H32" i="24"/>
  <c r="H32" i="25"/>
  <c r="G19" i="25"/>
  <c r="L80" i="17"/>
  <c r="L75" i="17"/>
  <c r="T10" i="20"/>
  <c r="V65" i="17"/>
  <c r="V71" i="17" s="1"/>
  <c r="V73" i="17" s="1"/>
  <c r="X32" i="17"/>
  <c r="W33" i="17"/>
  <c r="W40" i="17" s="1"/>
  <c r="H34" i="20"/>
  <c r="H29" i="20"/>
  <c r="H32" i="20" s="1"/>
  <c r="H33" i="20" s="1"/>
  <c r="K62" i="17"/>
  <c r="K64" i="17" s="1"/>
  <c r="K66" i="17" s="1"/>
  <c r="H9" i="21"/>
  <c r="H10" i="21" s="1"/>
  <c r="H12" i="21" s="1"/>
  <c r="H13" i="21" s="1"/>
  <c r="K15" i="17"/>
  <c r="K42" i="17" s="1"/>
  <c r="K46" i="17" s="1"/>
  <c r="K51" i="17" s="1"/>
  <c r="AD31" i="17"/>
  <c r="AC19" i="17"/>
  <c r="AD17" i="17"/>
  <c r="J26" i="45"/>
  <c r="J29" i="45" s="1"/>
  <c r="J30" i="45" s="1"/>
  <c r="J33" i="45" s="1"/>
  <c r="J34" i="45" s="1"/>
  <c r="J25" i="20"/>
  <c r="E18" i="15"/>
  <c r="Q89" i="17"/>
  <c r="Q87" i="17"/>
  <c r="AD20" i="17"/>
  <c r="AC23" i="17"/>
  <c r="P4" i="21"/>
  <c r="P7" i="21" s="1"/>
  <c r="T6" i="17"/>
  <c r="R27" i="20" s="1"/>
  <c r="O3" i="25"/>
  <c r="O8" i="25" s="1"/>
  <c r="O3" i="47"/>
  <c r="O8" i="47" s="1"/>
  <c r="O3" i="48"/>
  <c r="O8" i="48" s="1"/>
  <c r="O3" i="24"/>
  <c r="O8" i="24" s="1"/>
  <c r="J13" i="20"/>
  <c r="J26" i="20"/>
  <c r="S9" i="17"/>
  <c r="R85" i="17"/>
  <c r="R86" i="17" s="1"/>
  <c r="Z12" i="17"/>
  <c r="U15" i="47"/>
  <c r="U15" i="25"/>
  <c r="U15" i="48"/>
  <c r="U15" i="24"/>
  <c r="P88" i="17"/>
  <c r="AB10" i="45"/>
  <c r="AC10" i="45" s="1"/>
  <c r="AB9" i="20"/>
  <c r="AC9" i="20" s="1"/>
  <c r="AE44" i="17"/>
  <c r="N9" i="46"/>
  <c r="O9" i="46"/>
  <c r="O10" i="46" s="1"/>
  <c r="O12" i="46" s="1"/>
  <c r="O13" i="46" s="1"/>
  <c r="N35" i="45"/>
  <c r="L12" i="46"/>
  <c r="L13" i="46" s="1"/>
  <c r="M35" i="45"/>
  <c r="V6" i="46"/>
  <c r="T28" i="45"/>
  <c r="T29" i="45" s="1"/>
  <c r="S5" i="46"/>
  <c r="S7" i="46" s="1"/>
  <c r="U5" i="47"/>
  <c r="V6" i="21"/>
  <c r="U5" i="24"/>
  <c r="U5" i="25"/>
  <c r="U5" i="48"/>
  <c r="Z8" i="17"/>
  <c r="R4" i="25"/>
  <c r="R4" i="24"/>
  <c r="R4" i="48"/>
  <c r="W7" i="17"/>
  <c r="R4" i="47"/>
  <c r="S5" i="21"/>
  <c r="W4" i="46"/>
  <c r="K53" i="17" l="1"/>
  <c r="K57" i="17" s="1"/>
  <c r="I7" i="20"/>
  <c r="I15" i="20" s="1"/>
  <c r="I30" i="20" s="1"/>
  <c r="Y32" i="17"/>
  <c r="X33" i="17"/>
  <c r="X40" i="17" s="1"/>
  <c r="V80" i="17"/>
  <c r="V75" i="17"/>
  <c r="V76" i="17" s="1"/>
  <c r="U10" i="20"/>
  <c r="W65" i="17"/>
  <c r="W71" i="17" s="1"/>
  <c r="W73" i="17" s="1"/>
  <c r="L76" i="17"/>
  <c r="L93" i="17" s="1"/>
  <c r="L11" i="17" s="1"/>
  <c r="L92" i="17"/>
  <c r="J28" i="20"/>
  <c r="AD19" i="17"/>
  <c r="AE19" i="17" s="1"/>
  <c r="AE17" i="17"/>
  <c r="AE31" i="17"/>
  <c r="AD23" i="17"/>
  <c r="AE23" i="17" s="1"/>
  <c r="AE20" i="17"/>
  <c r="C19" i="15"/>
  <c r="Q88" i="17"/>
  <c r="R87" i="17"/>
  <c r="R89" i="17"/>
  <c r="P3" i="47"/>
  <c r="P8" i="47" s="1"/>
  <c r="U6" i="17"/>
  <c r="S27" i="20" s="1"/>
  <c r="S28" i="20" s="1"/>
  <c r="P3" i="24"/>
  <c r="P8" i="24" s="1"/>
  <c r="P3" i="25"/>
  <c r="P8" i="25" s="1"/>
  <c r="Q4" i="21"/>
  <c r="Q7" i="21" s="1"/>
  <c r="P3" i="48"/>
  <c r="P8" i="48" s="1"/>
  <c r="AA12" i="17"/>
  <c r="V15" i="47"/>
  <c r="V15" i="24"/>
  <c r="V15" i="48"/>
  <c r="V15" i="25"/>
  <c r="T9" i="17"/>
  <c r="S85" i="17"/>
  <c r="S86" i="17" s="1"/>
  <c r="O8" i="45"/>
  <c r="O16" i="45" s="1"/>
  <c r="O31" i="45" s="1"/>
  <c r="N10" i="46"/>
  <c r="P8" i="45"/>
  <c r="P16" i="45" s="1"/>
  <c r="P31" i="45" s="1"/>
  <c r="P9" i="46"/>
  <c r="P10" i="46" s="1"/>
  <c r="P12" i="46" s="1"/>
  <c r="P13" i="46" s="1"/>
  <c r="S4" i="48"/>
  <c r="S4" i="25"/>
  <c r="X7" i="17"/>
  <c r="T5" i="21"/>
  <c r="S4" i="47"/>
  <c r="S4" i="24"/>
  <c r="U28" i="45"/>
  <c r="U29" i="45" s="1"/>
  <c r="T5" i="46"/>
  <c r="T7" i="46" s="1"/>
  <c r="W6" i="46"/>
  <c r="V5" i="24"/>
  <c r="V5" i="47"/>
  <c r="AA8" i="17"/>
  <c r="W6" i="21"/>
  <c r="V5" i="48"/>
  <c r="V5" i="25"/>
  <c r="X4" i="46"/>
  <c r="H14" i="47" l="1"/>
  <c r="H16" i="47" s="1"/>
  <c r="H18" i="47" s="1"/>
  <c r="L13" i="17"/>
  <c r="H14" i="25"/>
  <c r="H16" i="25" s="1"/>
  <c r="H18" i="25" s="1"/>
  <c r="H14" i="48"/>
  <c r="H16" i="48" s="1"/>
  <c r="H18" i="48" s="1"/>
  <c r="H14" i="24"/>
  <c r="H16" i="24" s="1"/>
  <c r="H18" i="24" s="1"/>
  <c r="W80" i="17"/>
  <c r="W75" i="17"/>
  <c r="W76" i="17" s="1"/>
  <c r="V10" i="20"/>
  <c r="X65" i="17"/>
  <c r="X71" i="17" s="1"/>
  <c r="X73" i="17" s="1"/>
  <c r="Z32" i="17"/>
  <c r="Y33" i="17"/>
  <c r="Y40" i="17" s="1"/>
  <c r="I34" i="20"/>
  <c r="I29" i="20"/>
  <c r="I32" i="20" s="1"/>
  <c r="I33" i="20" s="1"/>
  <c r="R88" i="17"/>
  <c r="AB12" i="17"/>
  <c r="W15" i="48"/>
  <c r="W15" i="24"/>
  <c r="W15" i="25"/>
  <c r="W15" i="47"/>
  <c r="M49" i="17"/>
  <c r="M65" i="17" s="1"/>
  <c r="D19" i="15"/>
  <c r="R4" i="21"/>
  <c r="R7" i="21" s="1"/>
  <c r="Q3" i="47"/>
  <c r="Q8" i="47" s="1"/>
  <c r="Q3" i="48"/>
  <c r="Q8" i="48" s="1"/>
  <c r="Q3" i="25"/>
  <c r="Q8" i="25" s="1"/>
  <c r="V6" i="17"/>
  <c r="T27" i="20" s="1"/>
  <c r="T28" i="20" s="1"/>
  <c r="Q3" i="24"/>
  <c r="Q8" i="24" s="1"/>
  <c r="S87" i="17"/>
  <c r="S89" i="17"/>
  <c r="T85" i="17"/>
  <c r="T86" i="17" s="1"/>
  <c r="U9" i="17"/>
  <c r="Q8" i="45"/>
  <c r="Q16" i="45" s="1"/>
  <c r="Q31" i="45" s="1"/>
  <c r="N12" i="46"/>
  <c r="N13" i="46" s="1"/>
  <c r="O35" i="45"/>
  <c r="Q9" i="46"/>
  <c r="Q10" i="46" s="1"/>
  <c r="Q12" i="46" s="1"/>
  <c r="Q13" i="46" s="1"/>
  <c r="P35" i="45"/>
  <c r="W5" i="47"/>
  <c r="W5" i="25"/>
  <c r="AB8" i="17"/>
  <c r="W5" i="24"/>
  <c r="W5" i="48"/>
  <c r="X6" i="21"/>
  <c r="Y4" i="46"/>
  <c r="U5" i="21"/>
  <c r="T4" i="24"/>
  <c r="T4" i="48"/>
  <c r="T4" i="25"/>
  <c r="Y7" i="17"/>
  <c r="T4" i="47"/>
  <c r="X6" i="46"/>
  <c r="U5" i="46"/>
  <c r="U7" i="46" s="1"/>
  <c r="V28" i="45"/>
  <c r="V29" i="45" s="1"/>
  <c r="M71" i="17" l="1"/>
  <c r="W10" i="20"/>
  <c r="Y65" i="17"/>
  <c r="Y71" i="17" s="1"/>
  <c r="Y73" i="17" s="1"/>
  <c r="X75" i="17"/>
  <c r="X76" i="17" s="1"/>
  <c r="X80" i="17"/>
  <c r="AA32" i="17"/>
  <c r="Z33" i="17"/>
  <c r="Z40" i="17" s="1"/>
  <c r="H19" i="25"/>
  <c r="I32" i="25"/>
  <c r="L62" i="17"/>
  <c r="L64" i="17" s="1"/>
  <c r="L66" i="17" s="1"/>
  <c r="I9" i="21"/>
  <c r="I10" i="21" s="1"/>
  <c r="I12" i="21" s="1"/>
  <c r="I13" i="21" s="1"/>
  <c r="L15" i="17"/>
  <c r="L42" i="17" s="1"/>
  <c r="L46" i="17" s="1"/>
  <c r="L51" i="17" s="1"/>
  <c r="H19" i="24"/>
  <c r="I32" i="24"/>
  <c r="H19" i="47"/>
  <c r="I32" i="47"/>
  <c r="S88" i="17"/>
  <c r="T87" i="17"/>
  <c r="T89" i="17"/>
  <c r="K26" i="45"/>
  <c r="K29" i="45" s="1"/>
  <c r="K30" i="45" s="1"/>
  <c r="K33" i="45" s="1"/>
  <c r="K34" i="45" s="1"/>
  <c r="K25" i="20"/>
  <c r="E19" i="15"/>
  <c r="W6" i="17"/>
  <c r="U27" i="20" s="1"/>
  <c r="U28" i="20" s="1"/>
  <c r="S4" i="21"/>
  <c r="S7" i="21" s="1"/>
  <c r="R3" i="48"/>
  <c r="R8" i="48" s="1"/>
  <c r="R3" i="47"/>
  <c r="R8" i="47" s="1"/>
  <c r="R3" i="25"/>
  <c r="R8" i="25" s="1"/>
  <c r="R3" i="24"/>
  <c r="R8" i="24" s="1"/>
  <c r="K13" i="20"/>
  <c r="K26" i="20"/>
  <c r="AC12" i="17"/>
  <c r="X15" i="25"/>
  <c r="X15" i="24"/>
  <c r="X15" i="47"/>
  <c r="X15" i="48"/>
  <c r="V9" i="17"/>
  <c r="U85" i="17"/>
  <c r="U86" i="17" s="1"/>
  <c r="R8" i="45"/>
  <c r="R16" i="45" s="1"/>
  <c r="R31" i="45" s="1"/>
  <c r="R9" i="46"/>
  <c r="R10" i="46" s="1"/>
  <c r="R12" i="46" s="1"/>
  <c r="R13" i="46" s="1"/>
  <c r="Q35" i="45"/>
  <c r="Z4" i="46"/>
  <c r="U4" i="24"/>
  <c r="Z7" i="17"/>
  <c r="U4" i="48"/>
  <c r="U4" i="25"/>
  <c r="U4" i="47"/>
  <c r="V5" i="21"/>
  <c r="W28" i="45"/>
  <c r="W29" i="45" s="1"/>
  <c r="V5" i="46"/>
  <c r="V7" i="46" s="1"/>
  <c r="Y6" i="46"/>
  <c r="AC8" i="17"/>
  <c r="Y6" i="21"/>
  <c r="X5" i="24"/>
  <c r="X5" i="25"/>
  <c r="X5" i="47"/>
  <c r="X5" i="48"/>
  <c r="K28" i="20" l="1"/>
  <c r="AB32" i="17"/>
  <c r="AA33" i="17"/>
  <c r="AA40" i="17" s="1"/>
  <c r="X10" i="20"/>
  <c r="Z65" i="17"/>
  <c r="Z71" i="17" s="1"/>
  <c r="Z73" i="17" s="1"/>
  <c r="L53" i="17"/>
  <c r="L57" i="17" s="1"/>
  <c r="J7" i="20"/>
  <c r="J15" i="20" s="1"/>
  <c r="J30" i="20" s="1"/>
  <c r="Y75" i="17"/>
  <c r="Y76" i="17" s="1"/>
  <c r="Y80" i="17"/>
  <c r="M73" i="17"/>
  <c r="U87" i="17"/>
  <c r="U89" i="17"/>
  <c r="V85" i="17"/>
  <c r="V86" i="17" s="1"/>
  <c r="W9" i="17"/>
  <c r="T88" i="17"/>
  <c r="AD12" i="17"/>
  <c r="AE12" i="17" s="1"/>
  <c r="Y15" i="47"/>
  <c r="Y15" i="24"/>
  <c r="Y15" i="48"/>
  <c r="Y15" i="25"/>
  <c r="S3" i="48"/>
  <c r="S8" i="48" s="1"/>
  <c r="T4" i="21"/>
  <c r="T7" i="21" s="1"/>
  <c r="S3" i="25"/>
  <c r="S8" i="25" s="1"/>
  <c r="S3" i="47"/>
  <c r="S8" i="47" s="1"/>
  <c r="X6" i="17"/>
  <c r="V27" i="20" s="1"/>
  <c r="V28" i="20" s="1"/>
  <c r="S3" i="24"/>
  <c r="S8" i="24" s="1"/>
  <c r="C20" i="15"/>
  <c r="S9" i="46"/>
  <c r="S10" i="46" s="1"/>
  <c r="S12" i="46" s="1"/>
  <c r="S13" i="46" s="1"/>
  <c r="S8" i="45"/>
  <c r="S16" i="45" s="1"/>
  <c r="S31" i="45" s="1"/>
  <c r="R35" i="45"/>
  <c r="W5" i="21"/>
  <c r="V4" i="47"/>
  <c r="AA7" i="17"/>
  <c r="V4" i="48"/>
  <c r="V4" i="25"/>
  <c r="V4" i="24"/>
  <c r="AA4" i="46"/>
  <c r="AB4" i="46" s="1"/>
  <c r="Y5" i="25"/>
  <c r="Y5" i="48"/>
  <c r="Z6" i="21"/>
  <c r="Y5" i="24"/>
  <c r="Y5" i="47"/>
  <c r="AD8" i="17"/>
  <c r="Z6" i="46"/>
  <c r="X28" i="45"/>
  <c r="X29" i="45" s="1"/>
  <c r="W5" i="46"/>
  <c r="W7" i="46" s="1"/>
  <c r="Z80" i="17" l="1"/>
  <c r="Z75" i="17"/>
  <c r="Z76" i="17" s="1"/>
  <c r="M80" i="17"/>
  <c r="M75" i="17"/>
  <c r="J34" i="20"/>
  <c r="J29" i="20"/>
  <c r="J32" i="20" s="1"/>
  <c r="J33" i="20" s="1"/>
  <c r="Y10" i="20"/>
  <c r="AA65" i="17"/>
  <c r="AA71" i="17" s="1"/>
  <c r="AA73" i="17" s="1"/>
  <c r="AC32" i="17"/>
  <c r="AB33" i="17"/>
  <c r="AB40" i="17" s="1"/>
  <c r="Z15" i="48"/>
  <c r="AA15" i="48" s="1"/>
  <c r="Z15" i="24"/>
  <c r="AA15" i="24" s="1"/>
  <c r="Z15" i="47"/>
  <c r="AA15" i="47" s="1"/>
  <c r="Z15" i="25"/>
  <c r="AA15" i="25" s="1"/>
  <c r="X9" i="17"/>
  <c r="W85" i="17"/>
  <c r="W86" i="17" s="1"/>
  <c r="N49" i="17"/>
  <c r="N65" i="17" s="1"/>
  <c r="D20" i="15"/>
  <c r="V89" i="17"/>
  <c r="V87" i="17"/>
  <c r="U92" i="17"/>
  <c r="U88" i="17"/>
  <c r="U93" i="17" s="1"/>
  <c r="U11" i="17" s="1"/>
  <c r="T3" i="25"/>
  <c r="T8" i="25" s="1"/>
  <c r="T3" i="24"/>
  <c r="T8" i="24" s="1"/>
  <c r="T3" i="48"/>
  <c r="T8" i="48" s="1"/>
  <c r="T3" i="47"/>
  <c r="T8" i="47" s="1"/>
  <c r="U4" i="21"/>
  <c r="U7" i="21" s="1"/>
  <c r="Y6" i="17"/>
  <c r="W27" i="20" s="1"/>
  <c r="W28" i="20" s="1"/>
  <c r="S35" i="45"/>
  <c r="S30" i="45"/>
  <c r="S33" i="45" s="1"/>
  <c r="S34" i="45" s="1"/>
  <c r="T8" i="45"/>
  <c r="T16" i="45" s="1"/>
  <c r="T31" i="45" s="1"/>
  <c r="T9" i="46"/>
  <c r="T10" i="46" s="1"/>
  <c r="T12" i="46" s="1"/>
  <c r="T13" i="46" s="1"/>
  <c r="Z5" i="48"/>
  <c r="AA5" i="48" s="1"/>
  <c r="AA6" i="21"/>
  <c r="AB6" i="21" s="1"/>
  <c r="Z5" i="25"/>
  <c r="AA5" i="25" s="1"/>
  <c r="Z5" i="47"/>
  <c r="AA5" i="47" s="1"/>
  <c r="Z5" i="24"/>
  <c r="AA5" i="24" s="1"/>
  <c r="Y28" i="45"/>
  <c r="Y29" i="45" s="1"/>
  <c r="X5" i="46"/>
  <c r="X7" i="46" s="1"/>
  <c r="AA6" i="46"/>
  <c r="AB6" i="46" s="1"/>
  <c r="W4" i="24"/>
  <c r="W4" i="48"/>
  <c r="W4" i="25"/>
  <c r="X5" i="21"/>
  <c r="W4" i="47"/>
  <c r="AB7" i="17"/>
  <c r="AE8" i="17"/>
  <c r="Z10" i="20" l="1"/>
  <c r="AB65" i="17"/>
  <c r="AB71" i="17" s="1"/>
  <c r="AB73" i="17" s="1"/>
  <c r="AA75" i="17"/>
  <c r="AA76" i="17" s="1"/>
  <c r="AA80" i="17"/>
  <c r="AD32" i="17"/>
  <c r="AC33" i="17"/>
  <c r="AC40" i="17" s="1"/>
  <c r="M76" i="17"/>
  <c r="M93" i="17" s="1"/>
  <c r="M11" i="17" s="1"/>
  <c r="M92" i="17"/>
  <c r="N71" i="17"/>
  <c r="U13" i="17"/>
  <c r="Q14" i="25"/>
  <c r="Q16" i="25" s="1"/>
  <c r="Q18" i="25" s="1"/>
  <c r="Q14" i="24"/>
  <c r="Q16" i="24" s="1"/>
  <c r="Q18" i="24" s="1"/>
  <c r="Q14" i="48"/>
  <c r="Q16" i="48" s="1"/>
  <c r="Q18" i="48" s="1"/>
  <c r="Q14" i="47"/>
  <c r="Q16" i="47" s="1"/>
  <c r="Q18" i="47" s="1"/>
  <c r="V92" i="17"/>
  <c r="V88" i="17"/>
  <c r="V93" i="17" s="1"/>
  <c r="V11" i="17" s="1"/>
  <c r="L26" i="20"/>
  <c r="L13" i="20"/>
  <c r="Y9" i="17"/>
  <c r="X85" i="17"/>
  <c r="X86" i="17" s="1"/>
  <c r="W87" i="17"/>
  <c r="W89" i="17"/>
  <c r="U3" i="48"/>
  <c r="U8" i="48" s="1"/>
  <c r="U3" i="47"/>
  <c r="U8" i="47" s="1"/>
  <c r="V4" i="21"/>
  <c r="V7" i="21" s="1"/>
  <c r="Z6" i="17"/>
  <c r="X27" i="20" s="1"/>
  <c r="X28" i="20" s="1"/>
  <c r="U3" i="25"/>
  <c r="U8" i="25" s="1"/>
  <c r="U3" i="24"/>
  <c r="U8" i="24" s="1"/>
  <c r="L26" i="45"/>
  <c r="L29" i="45" s="1"/>
  <c r="L30" i="45" s="1"/>
  <c r="L33" i="45" s="1"/>
  <c r="L34" i="45" s="1"/>
  <c r="L25" i="20"/>
  <c r="E20" i="15"/>
  <c r="T30" i="45"/>
  <c r="T33" i="45" s="1"/>
  <c r="T34" i="45" s="1"/>
  <c r="T35" i="45"/>
  <c r="U8" i="45"/>
  <c r="U16" i="45" s="1"/>
  <c r="U31" i="45" s="1"/>
  <c r="U9" i="46"/>
  <c r="U10" i="46" s="1"/>
  <c r="U12" i="46" s="1"/>
  <c r="U13" i="46" s="1"/>
  <c r="X4" i="47"/>
  <c r="Y5" i="21"/>
  <c r="X4" i="24"/>
  <c r="X4" i="48"/>
  <c r="AC7" i="17"/>
  <c r="X4" i="25"/>
  <c r="Z28" i="45"/>
  <c r="Z29" i="45" s="1"/>
  <c r="Y5" i="46"/>
  <c r="Y7" i="46" s="1"/>
  <c r="L28" i="20" l="1"/>
  <c r="AA10" i="20"/>
  <c r="AB10" i="20" s="1"/>
  <c r="AC10" i="20" s="1"/>
  <c r="AC65" i="17"/>
  <c r="AC71" i="17" s="1"/>
  <c r="AC73" i="17" s="1"/>
  <c r="N73" i="17"/>
  <c r="M13" i="17"/>
  <c r="I14" i="48"/>
  <c r="I16" i="48" s="1"/>
  <c r="I18" i="48" s="1"/>
  <c r="I14" i="47"/>
  <c r="I16" i="47" s="1"/>
  <c r="I18" i="47" s="1"/>
  <c r="I14" i="24"/>
  <c r="I16" i="24" s="1"/>
  <c r="I18" i="24" s="1"/>
  <c r="I14" i="25"/>
  <c r="I16" i="25" s="1"/>
  <c r="I18" i="25" s="1"/>
  <c r="AB75" i="17"/>
  <c r="AB76" i="17" s="1"/>
  <c r="AB80" i="17"/>
  <c r="AE32" i="17"/>
  <c r="AD33" i="17"/>
  <c r="V3" i="24"/>
  <c r="V8" i="24" s="1"/>
  <c r="V3" i="47"/>
  <c r="V8" i="47" s="1"/>
  <c r="V3" i="25"/>
  <c r="V8" i="25" s="1"/>
  <c r="AA6" i="17"/>
  <c r="Y27" i="20" s="1"/>
  <c r="Y28" i="20" s="1"/>
  <c r="V3" i="48"/>
  <c r="V8" i="48" s="1"/>
  <c r="W4" i="21"/>
  <c r="W7" i="21" s="1"/>
  <c r="R32" i="47"/>
  <c r="Q19" i="47"/>
  <c r="X87" i="17"/>
  <c r="X89" i="17"/>
  <c r="Q19" i="24"/>
  <c r="R32" i="24"/>
  <c r="R14" i="25"/>
  <c r="R16" i="25" s="1"/>
  <c r="R18" i="25" s="1"/>
  <c r="R14" i="24"/>
  <c r="R16" i="24" s="1"/>
  <c r="R18" i="24" s="1"/>
  <c r="R14" i="48"/>
  <c r="R16" i="48" s="1"/>
  <c r="R18" i="48" s="1"/>
  <c r="R14" i="47"/>
  <c r="R16" i="47" s="1"/>
  <c r="R18" i="47" s="1"/>
  <c r="V13" i="17"/>
  <c r="W88" i="17"/>
  <c r="W93" i="17" s="1"/>
  <c r="W11" i="17" s="1"/>
  <c r="W92" i="17"/>
  <c r="Q19" i="25"/>
  <c r="R32" i="25"/>
  <c r="C21" i="15"/>
  <c r="Y85" i="17"/>
  <c r="Y86" i="17" s="1"/>
  <c r="Z9" i="17"/>
  <c r="U62" i="17"/>
  <c r="U64" i="17" s="1"/>
  <c r="U66" i="17" s="1"/>
  <c r="U15" i="17"/>
  <c r="U42" i="17" s="1"/>
  <c r="U46" i="17" s="1"/>
  <c r="U51" i="17" s="1"/>
  <c r="R9" i="21"/>
  <c r="R10" i="21" s="1"/>
  <c r="R12" i="21" s="1"/>
  <c r="R13" i="21" s="1"/>
  <c r="V9" i="46"/>
  <c r="V10" i="46" s="1"/>
  <c r="V12" i="46" s="1"/>
  <c r="V13" i="46" s="1"/>
  <c r="U30" i="45"/>
  <c r="U33" i="45" s="1"/>
  <c r="U34" i="45" s="1"/>
  <c r="U35" i="45"/>
  <c r="V8" i="45"/>
  <c r="V16" i="45" s="1"/>
  <c r="V31" i="45" s="1"/>
  <c r="Z5" i="46"/>
  <c r="Z7" i="46" s="1"/>
  <c r="AA28" i="45"/>
  <c r="AA29" i="45" s="1"/>
  <c r="Y4" i="47"/>
  <c r="AD7" i="17"/>
  <c r="Y4" i="48"/>
  <c r="Z5" i="21"/>
  <c r="Y4" i="24"/>
  <c r="Y4" i="25"/>
  <c r="N75" i="17" l="1"/>
  <c r="N80" i="17"/>
  <c r="I19" i="24"/>
  <c r="J32" i="24"/>
  <c r="J9" i="21"/>
  <c r="J10" i="21" s="1"/>
  <c r="J12" i="21" s="1"/>
  <c r="J13" i="21" s="1"/>
  <c r="M62" i="17"/>
  <c r="M64" i="17" s="1"/>
  <c r="M66" i="17" s="1"/>
  <c r="M15" i="17"/>
  <c r="M42" i="17" s="1"/>
  <c r="M46" i="17" s="1"/>
  <c r="M51" i="17" s="1"/>
  <c r="AC80" i="17"/>
  <c r="AC75" i="17"/>
  <c r="AC76" i="17" s="1"/>
  <c r="AE33" i="17"/>
  <c r="AD40" i="17"/>
  <c r="J32" i="25"/>
  <c r="I19" i="25"/>
  <c r="I19" i="47"/>
  <c r="J32" i="47"/>
  <c r="R19" i="25"/>
  <c r="S32" i="25"/>
  <c r="X88" i="17"/>
  <c r="X93" i="17" s="1"/>
  <c r="X11" i="17" s="1"/>
  <c r="X92" i="17"/>
  <c r="R19" i="24"/>
  <c r="S32" i="24"/>
  <c r="U53" i="17"/>
  <c r="U57" i="17" s="1"/>
  <c r="S7" i="20"/>
  <c r="S15" i="20" s="1"/>
  <c r="S30" i="20" s="1"/>
  <c r="Z85" i="17"/>
  <c r="Z86" i="17" s="1"/>
  <c r="AA9" i="17"/>
  <c r="W3" i="47"/>
  <c r="W8" i="47" s="1"/>
  <c r="W3" i="25"/>
  <c r="W8" i="25" s="1"/>
  <c r="X4" i="21"/>
  <c r="X7" i="21" s="1"/>
  <c r="W3" i="24"/>
  <c r="W8" i="24" s="1"/>
  <c r="W3" i="48"/>
  <c r="W8" i="48" s="1"/>
  <c r="AB6" i="17"/>
  <c r="Z27" i="20" s="1"/>
  <c r="Z28" i="20" s="1"/>
  <c r="Y87" i="17"/>
  <c r="Y89" i="17"/>
  <c r="V62" i="17"/>
  <c r="V64" i="17" s="1"/>
  <c r="V66" i="17" s="1"/>
  <c r="S9" i="21"/>
  <c r="S10" i="21" s="1"/>
  <c r="S12" i="21" s="1"/>
  <c r="S13" i="21" s="1"/>
  <c r="V15" i="17"/>
  <c r="V42" i="17" s="1"/>
  <c r="V46" i="17" s="1"/>
  <c r="V51" i="17" s="1"/>
  <c r="O49" i="17"/>
  <c r="O65" i="17" s="1"/>
  <c r="D21" i="15"/>
  <c r="S14" i="48"/>
  <c r="S16" i="48" s="1"/>
  <c r="S18" i="48" s="1"/>
  <c r="W13" i="17"/>
  <c r="S14" i="47"/>
  <c r="S16" i="47" s="1"/>
  <c r="S18" i="47" s="1"/>
  <c r="S14" i="25"/>
  <c r="S16" i="25" s="1"/>
  <c r="S18" i="25" s="1"/>
  <c r="S14" i="24"/>
  <c r="S16" i="24" s="1"/>
  <c r="S18" i="24" s="1"/>
  <c r="S32" i="47"/>
  <c r="R19" i="47"/>
  <c r="W9" i="46"/>
  <c r="W10" i="46" s="1"/>
  <c r="W12" i="46" s="1"/>
  <c r="W13" i="46" s="1"/>
  <c r="V35" i="45"/>
  <c r="V30" i="45"/>
  <c r="V33" i="45" s="1"/>
  <c r="V34" i="45" s="1"/>
  <c r="W8" i="45"/>
  <c r="W16" i="45" s="1"/>
  <c r="W31" i="45" s="1"/>
  <c r="Z4" i="24"/>
  <c r="Z4" i="47"/>
  <c r="AA4" i="47" s="1"/>
  <c r="Z4" i="48"/>
  <c r="AA5" i="21"/>
  <c r="Z4" i="25"/>
  <c r="AB28" i="45"/>
  <c r="AA5" i="46"/>
  <c r="AE7" i="17"/>
  <c r="AE40" i="17" l="1"/>
  <c r="AD65" i="17"/>
  <c r="AD71" i="17" s="1"/>
  <c r="AD73" i="17" s="1"/>
  <c r="O71" i="17"/>
  <c r="K7" i="20"/>
  <c r="K15" i="20" s="1"/>
  <c r="K30" i="20" s="1"/>
  <c r="M53" i="17"/>
  <c r="M57" i="17" s="1"/>
  <c r="N76" i="17"/>
  <c r="N93" i="17" s="1"/>
  <c r="N11" i="17" s="1"/>
  <c r="N92" i="17"/>
  <c r="X3" i="47"/>
  <c r="X8" i="47" s="1"/>
  <c r="Y4" i="21"/>
  <c r="Y7" i="21" s="1"/>
  <c r="X3" i="24"/>
  <c r="X8" i="24" s="1"/>
  <c r="X3" i="48"/>
  <c r="X8" i="48" s="1"/>
  <c r="X3" i="25"/>
  <c r="X8" i="25" s="1"/>
  <c r="AC6" i="17"/>
  <c r="T32" i="25"/>
  <c r="S19" i="25"/>
  <c r="AB9" i="17"/>
  <c r="AA85" i="17"/>
  <c r="AA86" i="17" s="1"/>
  <c r="Y88" i="17"/>
  <c r="Y93" i="17" s="1"/>
  <c r="Y11" i="17" s="1"/>
  <c r="Y92" i="17"/>
  <c r="T32" i="24"/>
  <c r="S19" i="24"/>
  <c r="Z89" i="17"/>
  <c r="Z87" i="17"/>
  <c r="V53" i="17"/>
  <c r="V57" i="17" s="1"/>
  <c r="T7" i="20"/>
  <c r="T15" i="20" s="1"/>
  <c r="T30" i="20" s="1"/>
  <c r="T14" i="48"/>
  <c r="T16" i="48" s="1"/>
  <c r="T18" i="48" s="1"/>
  <c r="X13" i="17"/>
  <c r="T14" i="25"/>
  <c r="T16" i="25" s="1"/>
  <c r="T18" i="25" s="1"/>
  <c r="T14" i="24"/>
  <c r="T16" i="24" s="1"/>
  <c r="T18" i="24" s="1"/>
  <c r="T14" i="47"/>
  <c r="T16" i="47" s="1"/>
  <c r="T18" i="47" s="1"/>
  <c r="S19" i="47"/>
  <c r="T32" i="47"/>
  <c r="W15" i="17"/>
  <c r="W42" i="17" s="1"/>
  <c r="W46" i="17" s="1"/>
  <c r="W51" i="17" s="1"/>
  <c r="W62" i="17"/>
  <c r="W64" i="17" s="1"/>
  <c r="W66" i="17" s="1"/>
  <c r="T9" i="21"/>
  <c r="T10" i="21" s="1"/>
  <c r="T12" i="21" s="1"/>
  <c r="T13" i="21" s="1"/>
  <c r="M26" i="20"/>
  <c r="M13" i="20"/>
  <c r="S34" i="20"/>
  <c r="S29" i="20"/>
  <c r="S32" i="20" s="1"/>
  <c r="S33" i="20" s="1"/>
  <c r="M26" i="45"/>
  <c r="M29" i="45" s="1"/>
  <c r="M30" i="45" s="1"/>
  <c r="M33" i="45" s="1"/>
  <c r="M34" i="45" s="1"/>
  <c r="M25" i="20"/>
  <c r="E21" i="15"/>
  <c r="W35" i="45"/>
  <c r="W30" i="45"/>
  <c r="W33" i="45" s="1"/>
  <c r="W34" i="45" s="1"/>
  <c r="X8" i="45"/>
  <c r="X16" i="45" s="1"/>
  <c r="X31" i="45" s="1"/>
  <c r="X9" i="46"/>
  <c r="X10" i="46" s="1"/>
  <c r="X12" i="46" s="1"/>
  <c r="X13" i="46" s="1"/>
  <c r="AB29" i="45"/>
  <c r="AC28" i="45"/>
  <c r="AB5" i="21"/>
  <c r="AA7" i="46"/>
  <c r="AB5" i="46"/>
  <c r="AA4" i="48"/>
  <c r="AA4" i="25"/>
  <c r="AA4" i="24"/>
  <c r="M28" i="20" l="1"/>
  <c r="O73" i="17"/>
  <c r="AD75" i="17"/>
  <c r="AD76" i="17" s="1"/>
  <c r="AD80" i="17"/>
  <c r="AA27" i="20"/>
  <c r="J14" i="25"/>
  <c r="J16" i="25" s="1"/>
  <c r="J18" i="25" s="1"/>
  <c r="J14" i="47"/>
  <c r="J16" i="47" s="1"/>
  <c r="J18" i="47" s="1"/>
  <c r="J14" i="24"/>
  <c r="J16" i="24" s="1"/>
  <c r="J18" i="24" s="1"/>
  <c r="N13" i="17"/>
  <c r="J14" i="48"/>
  <c r="J16" i="48" s="1"/>
  <c r="J18" i="48" s="1"/>
  <c r="K34" i="20"/>
  <c r="K29" i="20"/>
  <c r="K32" i="20" s="1"/>
  <c r="K33" i="20" s="1"/>
  <c r="U9" i="21"/>
  <c r="U10" i="21" s="1"/>
  <c r="U12" i="21" s="1"/>
  <c r="U13" i="21" s="1"/>
  <c r="X62" i="17"/>
  <c r="X64" i="17" s="1"/>
  <c r="X66" i="17" s="1"/>
  <c r="X15" i="17"/>
  <c r="X42" i="17" s="1"/>
  <c r="X46" i="17" s="1"/>
  <c r="X51" i="17" s="1"/>
  <c r="T29" i="20"/>
  <c r="T32" i="20" s="1"/>
  <c r="T33" i="20" s="1"/>
  <c r="T34" i="20"/>
  <c r="AA87" i="17"/>
  <c r="AA89" i="17"/>
  <c r="C22" i="15"/>
  <c r="Z88" i="17"/>
  <c r="Z93" i="17" s="1"/>
  <c r="Z11" i="17" s="1"/>
  <c r="Z92" i="17"/>
  <c r="U14" i="48"/>
  <c r="U16" i="48" s="1"/>
  <c r="U18" i="48" s="1"/>
  <c r="U14" i="25"/>
  <c r="U16" i="25" s="1"/>
  <c r="U18" i="25" s="1"/>
  <c r="U14" i="24"/>
  <c r="U16" i="24" s="1"/>
  <c r="U18" i="24" s="1"/>
  <c r="Y13" i="17"/>
  <c r="U14" i="47"/>
  <c r="U16" i="47" s="1"/>
  <c r="U18" i="47" s="1"/>
  <c r="AD6" i="17"/>
  <c r="AB27" i="20" s="1"/>
  <c r="AB28" i="20" s="1"/>
  <c r="Y3" i="48"/>
  <c r="Y8" i="48" s="1"/>
  <c r="Y3" i="47"/>
  <c r="Y8" i="47" s="1"/>
  <c r="Y3" i="24"/>
  <c r="Y8" i="24" s="1"/>
  <c r="Z4" i="21"/>
  <c r="Z7" i="21" s="1"/>
  <c r="Y3" i="25"/>
  <c r="Y8" i="25" s="1"/>
  <c r="T19" i="47"/>
  <c r="U32" i="47"/>
  <c r="U32" i="24"/>
  <c r="T19" i="24"/>
  <c r="AB85" i="17"/>
  <c r="AB86" i="17" s="1"/>
  <c r="AC9" i="17"/>
  <c r="U7" i="20"/>
  <c r="U15" i="20" s="1"/>
  <c r="U30" i="20" s="1"/>
  <c r="W53" i="17"/>
  <c r="W57" i="17" s="1"/>
  <c r="T19" i="25"/>
  <c r="U32" i="25"/>
  <c r="Y9" i="46"/>
  <c r="Y10" i="46" s="1"/>
  <c r="Y12" i="46" s="1"/>
  <c r="Y13" i="46" s="1"/>
  <c r="Y8" i="45"/>
  <c r="Y16" i="45" s="1"/>
  <c r="Y31" i="45" s="1"/>
  <c r="X35" i="45"/>
  <c r="X30" i="45"/>
  <c r="X33" i="45" s="1"/>
  <c r="X34" i="45" s="1"/>
  <c r="AB7" i="46"/>
  <c r="N15" i="17" l="1"/>
  <c r="N42" i="17" s="1"/>
  <c r="N46" i="17" s="1"/>
  <c r="N51" i="17" s="1"/>
  <c r="K9" i="21"/>
  <c r="K10" i="21" s="1"/>
  <c r="K12" i="21" s="1"/>
  <c r="K13" i="21" s="1"/>
  <c r="N62" i="17"/>
  <c r="N64" i="17" s="1"/>
  <c r="N66" i="17" s="1"/>
  <c r="K32" i="24"/>
  <c r="J19" i="24"/>
  <c r="AE6" i="17"/>
  <c r="J19" i="47"/>
  <c r="K32" i="47"/>
  <c r="K32" i="25"/>
  <c r="J19" i="25"/>
  <c r="AA28" i="20"/>
  <c r="AC27" i="20"/>
  <c r="O80" i="17"/>
  <c r="O75" i="17"/>
  <c r="U19" i="25"/>
  <c r="V32" i="25"/>
  <c r="P49" i="17"/>
  <c r="P65" i="17" s="1"/>
  <c r="D22" i="15"/>
  <c r="V32" i="24"/>
  <c r="U19" i="24"/>
  <c r="U29" i="20"/>
  <c r="U32" i="20" s="1"/>
  <c r="U33" i="20" s="1"/>
  <c r="U34" i="20"/>
  <c r="V9" i="21"/>
  <c r="V10" i="21" s="1"/>
  <c r="V12" i="21" s="1"/>
  <c r="V13" i="21" s="1"/>
  <c r="Y15" i="17"/>
  <c r="Y42" i="17" s="1"/>
  <c r="Y46" i="17" s="1"/>
  <c r="Y51" i="17" s="1"/>
  <c r="Y62" i="17"/>
  <c r="Y64" i="17" s="1"/>
  <c r="Y66" i="17" s="1"/>
  <c r="AB87" i="17"/>
  <c r="AB89" i="17"/>
  <c r="AA88" i="17"/>
  <c r="AA93" i="17" s="1"/>
  <c r="AA11" i="17" s="1"/>
  <c r="AA92" i="17"/>
  <c r="V7" i="20"/>
  <c r="V15" i="20" s="1"/>
  <c r="V30" i="20" s="1"/>
  <c r="X53" i="17"/>
  <c r="X57" i="17" s="1"/>
  <c r="Z3" i="47"/>
  <c r="Z3" i="24"/>
  <c r="AA4" i="21"/>
  <c r="Z3" i="25"/>
  <c r="Z3" i="48"/>
  <c r="V14" i="48"/>
  <c r="V16" i="48" s="1"/>
  <c r="V18" i="48" s="1"/>
  <c r="V14" i="24"/>
  <c r="V16" i="24" s="1"/>
  <c r="V18" i="24" s="1"/>
  <c r="V14" i="47"/>
  <c r="V16" i="47" s="1"/>
  <c r="V18" i="47" s="1"/>
  <c r="Z13" i="17"/>
  <c r="V14" i="25"/>
  <c r="V16" i="25" s="1"/>
  <c r="V18" i="25" s="1"/>
  <c r="AD9" i="17"/>
  <c r="AD85" i="17" s="1"/>
  <c r="AD86" i="17" s="1"/>
  <c r="AC85" i="17"/>
  <c r="U19" i="47"/>
  <c r="V32" i="47"/>
  <c r="Y30" i="45"/>
  <c r="Y33" i="45" s="1"/>
  <c r="Y34" i="45" s="1"/>
  <c r="Y35" i="45"/>
  <c r="Z9" i="46"/>
  <c r="Z10" i="46" s="1"/>
  <c r="Z12" i="46" s="1"/>
  <c r="Z13" i="46" s="1"/>
  <c r="O76" i="17" l="1"/>
  <c r="O93" i="17" s="1"/>
  <c r="O11" i="17" s="1"/>
  <c r="O92" i="17"/>
  <c r="P71" i="17"/>
  <c r="L7" i="20"/>
  <c r="L15" i="20" s="1"/>
  <c r="L30" i="20" s="1"/>
  <c r="N53" i="17"/>
  <c r="N57" i="17" s="1"/>
  <c r="AC86" i="17"/>
  <c r="AC89" i="17" s="1"/>
  <c r="AE85" i="17"/>
  <c r="AE9" i="17"/>
  <c r="V29" i="20"/>
  <c r="V32" i="20" s="1"/>
  <c r="V33" i="20" s="1"/>
  <c r="V34" i="20"/>
  <c r="AD87" i="17"/>
  <c r="AD89" i="17"/>
  <c r="Y53" i="17"/>
  <c r="Y57" i="17" s="1"/>
  <c r="W7" i="20"/>
  <c r="W15" i="20" s="1"/>
  <c r="W30" i="20" s="1"/>
  <c r="V19" i="47"/>
  <c r="W32" i="47"/>
  <c r="N26" i="45"/>
  <c r="N29" i="45" s="1"/>
  <c r="N25" i="20"/>
  <c r="E22" i="15"/>
  <c r="AB88" i="17"/>
  <c r="AB93" i="17" s="1"/>
  <c r="AB11" i="17" s="1"/>
  <c r="AB92" i="17"/>
  <c r="W32" i="25"/>
  <c r="V19" i="25"/>
  <c r="Z62" i="17"/>
  <c r="Z64" i="17" s="1"/>
  <c r="Z66" i="17" s="1"/>
  <c r="Z15" i="17"/>
  <c r="Z42" i="17" s="1"/>
  <c r="Z46" i="17" s="1"/>
  <c r="Z51" i="17" s="1"/>
  <c r="W9" i="21"/>
  <c r="W10" i="21" s="1"/>
  <c r="W12" i="21" s="1"/>
  <c r="W13" i="21" s="1"/>
  <c r="AA3" i="25"/>
  <c r="AA8" i="25" s="1"/>
  <c r="Z8" i="25"/>
  <c r="N13" i="20"/>
  <c r="N26" i="20"/>
  <c r="AA3" i="47"/>
  <c r="AA8" i="47" s="1"/>
  <c r="Z8" i="47"/>
  <c r="V19" i="24"/>
  <c r="W32" i="24"/>
  <c r="AA3" i="48"/>
  <c r="AA8" i="48" s="1"/>
  <c r="Z8" i="48"/>
  <c r="AB4" i="21"/>
  <c r="AA7" i="21"/>
  <c r="AB7" i="21" s="1"/>
  <c r="W14" i="24"/>
  <c r="W16" i="24" s="1"/>
  <c r="W18" i="24" s="1"/>
  <c r="AA13" i="17"/>
  <c r="W14" i="47"/>
  <c r="W16" i="47" s="1"/>
  <c r="W18" i="47" s="1"/>
  <c r="W14" i="25"/>
  <c r="W16" i="25" s="1"/>
  <c r="W18" i="25" s="1"/>
  <c r="W14" i="48"/>
  <c r="W16" i="48" s="1"/>
  <c r="W18" i="48" s="1"/>
  <c r="AA3" i="24"/>
  <c r="AA8" i="24" s="1"/>
  <c r="Z8" i="24"/>
  <c r="AA8" i="45"/>
  <c r="AA16" i="45" s="1"/>
  <c r="AA31" i="45" s="1"/>
  <c r="AE86" i="17" l="1"/>
  <c r="AC87" i="17"/>
  <c r="AE87" i="17" s="1"/>
  <c r="AE88" i="17" s="1"/>
  <c r="N30" i="45"/>
  <c r="N33" i="45" s="1"/>
  <c r="N34" i="45" s="1"/>
  <c r="AE89" i="17"/>
  <c r="P73" i="17"/>
  <c r="L29" i="20"/>
  <c r="L32" i="20" s="1"/>
  <c r="L33" i="20" s="1"/>
  <c r="L34" i="20"/>
  <c r="N28" i="20"/>
  <c r="K14" i="48"/>
  <c r="K14" i="24"/>
  <c r="K14" i="47"/>
  <c r="O13" i="17"/>
  <c r="K14" i="25"/>
  <c r="W19" i="25"/>
  <c r="X32" i="25"/>
  <c r="X9" i="21"/>
  <c r="X10" i="21" s="1"/>
  <c r="X12" i="21" s="1"/>
  <c r="X13" i="21" s="1"/>
  <c r="AA62" i="17"/>
  <c r="AA64" i="17" s="1"/>
  <c r="AA66" i="17" s="1"/>
  <c r="AA15" i="17"/>
  <c r="AA42" i="17" s="1"/>
  <c r="AA46" i="17" s="1"/>
  <c r="AA51" i="17" s="1"/>
  <c r="W19" i="24"/>
  <c r="X32" i="24"/>
  <c r="AB13" i="17"/>
  <c r="X14" i="24"/>
  <c r="X16" i="24" s="1"/>
  <c r="X18" i="24" s="1"/>
  <c r="X14" i="47"/>
  <c r="X16" i="47" s="1"/>
  <c r="X18" i="47" s="1"/>
  <c r="X14" i="25"/>
  <c r="X16" i="25" s="1"/>
  <c r="X18" i="25" s="1"/>
  <c r="X14" i="48"/>
  <c r="X16" i="48" s="1"/>
  <c r="X18" i="48" s="1"/>
  <c r="W19" i="47"/>
  <c r="X32" i="47"/>
  <c r="C23" i="15"/>
  <c r="W29" i="20"/>
  <c r="W32" i="20" s="1"/>
  <c r="W33" i="20" s="1"/>
  <c r="W34" i="20"/>
  <c r="AD92" i="17"/>
  <c r="AD88" i="17"/>
  <c r="AD93" i="17" s="1"/>
  <c r="AD11" i="17" s="1"/>
  <c r="Z53" i="17"/>
  <c r="Z57" i="17" s="1"/>
  <c r="X7" i="20"/>
  <c r="X15" i="20" s="1"/>
  <c r="X30" i="20" s="1"/>
  <c r="AA35" i="45"/>
  <c r="AA30" i="45"/>
  <c r="AA33" i="45" s="1"/>
  <c r="AA34" i="45" s="1"/>
  <c r="AC88" i="17" l="1"/>
  <c r="AC93" i="17" s="1"/>
  <c r="AC11" i="17" s="1"/>
  <c r="AC92" i="17"/>
  <c r="K16" i="25"/>
  <c r="K16" i="48"/>
  <c r="K16" i="47"/>
  <c r="P75" i="17"/>
  <c r="P80" i="17"/>
  <c r="O15" i="17"/>
  <c r="O62" i="17"/>
  <c r="L9" i="21"/>
  <c r="K16" i="24"/>
  <c r="X19" i="47"/>
  <c r="Y32" i="47"/>
  <c r="Q49" i="17"/>
  <c r="Q65" i="17" s="1"/>
  <c r="D23" i="15"/>
  <c r="X19" i="25"/>
  <c r="Y32" i="25"/>
  <c r="X19" i="24"/>
  <c r="Y32" i="24"/>
  <c r="AB62" i="17"/>
  <c r="AB64" i="17" s="1"/>
  <c r="AB66" i="17" s="1"/>
  <c r="AB15" i="17"/>
  <c r="AB42" i="17" s="1"/>
  <c r="AB46" i="17" s="1"/>
  <c r="AB51" i="17" s="1"/>
  <c r="Y9" i="21"/>
  <c r="Y10" i="21" s="1"/>
  <c r="Y12" i="21" s="1"/>
  <c r="Y13" i="21" s="1"/>
  <c r="Z14" i="48"/>
  <c r="Z16" i="48" s="1"/>
  <c r="Z18" i="48" s="1"/>
  <c r="Z14" i="47"/>
  <c r="Z16" i="47" s="1"/>
  <c r="Z18" i="47" s="1"/>
  <c r="Z19" i="47" s="1"/>
  <c r="Z14" i="25"/>
  <c r="Z16" i="25" s="1"/>
  <c r="Z18" i="25" s="1"/>
  <c r="Z19" i="25" s="1"/>
  <c r="Z14" i="24"/>
  <c r="Z16" i="24" s="1"/>
  <c r="Z18" i="24" s="1"/>
  <c r="AA32" i="24" s="1"/>
  <c r="AD13" i="17"/>
  <c r="Y14" i="47"/>
  <c r="Y16" i="47" s="1"/>
  <c r="Y18" i="47" s="1"/>
  <c r="Y14" i="25"/>
  <c r="Y16" i="25" s="1"/>
  <c r="Y18" i="25" s="1"/>
  <c r="AC13" i="17"/>
  <c r="Y14" i="24"/>
  <c r="Y16" i="24" s="1"/>
  <c r="Y18" i="24" s="1"/>
  <c r="Y14" i="48"/>
  <c r="Y16" i="48" s="1"/>
  <c r="Y18" i="48" s="1"/>
  <c r="X34" i="20"/>
  <c r="X29" i="20"/>
  <c r="X32" i="20" s="1"/>
  <c r="X33" i="20" s="1"/>
  <c r="AA53" i="17"/>
  <c r="AA57" i="17" s="1"/>
  <c r="Y7" i="20"/>
  <c r="Y15" i="20" s="1"/>
  <c r="Y30" i="20" s="1"/>
  <c r="Z8" i="45"/>
  <c r="AA9" i="46"/>
  <c r="A15" i="44"/>
  <c r="AA32" i="25" l="1"/>
  <c r="Q71" i="17"/>
  <c r="K18" i="24"/>
  <c r="AA32" i="47"/>
  <c r="L10" i="21"/>
  <c r="O42" i="17"/>
  <c r="P76" i="17"/>
  <c r="P93" i="17" s="1"/>
  <c r="P11" i="17" s="1"/>
  <c r="P92" i="17"/>
  <c r="K18" i="48"/>
  <c r="O64" i="17"/>
  <c r="K18" i="47"/>
  <c r="K18" i="25"/>
  <c r="Z32" i="25"/>
  <c r="Y19" i="25"/>
  <c r="Y19" i="47"/>
  <c r="Z32" i="47"/>
  <c r="AA9" i="21"/>
  <c r="AA10" i="21" s="1"/>
  <c r="AA12" i="21" s="1"/>
  <c r="AA13" i="21" s="1"/>
  <c r="AD15" i="17"/>
  <c r="AD42" i="17" s="1"/>
  <c r="AD46" i="17" s="1"/>
  <c r="AD51" i="17" s="1"/>
  <c r="AD62" i="17"/>
  <c r="AD64" i="17" s="1"/>
  <c r="AD66" i="17" s="1"/>
  <c r="O26" i="45"/>
  <c r="O29" i="45" s="1"/>
  <c r="O25" i="20"/>
  <c r="E23" i="15"/>
  <c r="O13" i="20"/>
  <c r="O26" i="20"/>
  <c r="Z19" i="24"/>
  <c r="Z7" i="20"/>
  <c r="Z15" i="20" s="1"/>
  <c r="Z30" i="20" s="1"/>
  <c r="AB53" i="17"/>
  <c r="AB57" i="17" s="1"/>
  <c r="Y34" i="20"/>
  <c r="Y29" i="20"/>
  <c r="Y32" i="20" s="1"/>
  <c r="Y33" i="20" s="1"/>
  <c r="Y19" i="24"/>
  <c r="Z32" i="24"/>
  <c r="Z9" i="21"/>
  <c r="Z10" i="21" s="1"/>
  <c r="Z12" i="21" s="1"/>
  <c r="Z13" i="21" s="1"/>
  <c r="AC15" i="17"/>
  <c r="AC42" i="17" s="1"/>
  <c r="AC46" i="17" s="1"/>
  <c r="AC51" i="17" s="1"/>
  <c r="AC62" i="17"/>
  <c r="AC64" i="17" s="1"/>
  <c r="AC66" i="17" s="1"/>
  <c r="Z16" i="45"/>
  <c r="AA10" i="46"/>
  <c r="AB9" i="46"/>
  <c r="O28" i="20" l="1"/>
  <c r="K19" i="47"/>
  <c r="L32" i="47"/>
  <c r="O66" i="17"/>
  <c r="L14" i="48"/>
  <c r="P13" i="17"/>
  <c r="L14" i="24"/>
  <c r="L14" i="25"/>
  <c r="L14" i="47"/>
  <c r="O30" i="45"/>
  <c r="O33" i="45" s="1"/>
  <c r="O34" i="45" s="1"/>
  <c r="L32" i="24"/>
  <c r="K19" i="24"/>
  <c r="L12" i="21"/>
  <c r="L32" i="25"/>
  <c r="K19" i="25"/>
  <c r="O46" i="17"/>
  <c r="Q73" i="17"/>
  <c r="Z29" i="20"/>
  <c r="Z32" i="20" s="1"/>
  <c r="Z33" i="20" s="1"/>
  <c r="Z34" i="20"/>
  <c r="C24" i="15"/>
  <c r="AB7" i="20"/>
  <c r="AB15" i="20" s="1"/>
  <c r="AD53" i="17"/>
  <c r="AD57" i="17" s="1"/>
  <c r="AC53" i="17"/>
  <c r="AC57" i="17" s="1"/>
  <c r="AA7" i="20"/>
  <c r="AA15" i="20" s="1"/>
  <c r="AA30" i="20" s="1"/>
  <c r="Z31" i="45"/>
  <c r="AB10" i="46"/>
  <c r="AA12" i="46"/>
  <c r="Q75" i="17" l="1"/>
  <c r="Q80" i="17"/>
  <c r="P15" i="17"/>
  <c r="M9" i="21"/>
  <c r="P62" i="17"/>
  <c r="O51" i="17"/>
  <c r="L16" i="24"/>
  <c r="L16" i="47"/>
  <c r="L16" i="25"/>
  <c r="L16" i="48"/>
  <c r="L13" i="21"/>
  <c r="AA34" i="20"/>
  <c r="AA29" i="20"/>
  <c r="AA32" i="20" s="1"/>
  <c r="AA33" i="20" s="1"/>
  <c r="AB30" i="20"/>
  <c r="R49" i="17"/>
  <c r="R65" i="17" s="1"/>
  <c r="R71" i="17" s="1"/>
  <c r="R73" i="17" s="1"/>
  <c r="D24" i="15"/>
  <c r="AA13" i="46"/>
  <c r="B18" i="46"/>
  <c r="B17" i="46"/>
  <c r="AB12" i="46"/>
  <c r="B16" i="46"/>
  <c r="Z30" i="45"/>
  <c r="Z35" i="45"/>
  <c r="R80" i="17" l="1"/>
  <c r="R75" i="17"/>
  <c r="L18" i="24"/>
  <c r="M10" i="21"/>
  <c r="P42" i="17"/>
  <c r="L18" i="47"/>
  <c r="L18" i="48"/>
  <c r="O53" i="17"/>
  <c r="M7" i="20"/>
  <c r="P64" i="17"/>
  <c r="L18" i="25"/>
  <c r="Q76" i="17"/>
  <c r="Q93" i="17" s="1"/>
  <c r="Q11" i="17" s="1"/>
  <c r="Q92" i="17"/>
  <c r="P26" i="45"/>
  <c r="P29" i="45" s="1"/>
  <c r="P25" i="20"/>
  <c r="E24" i="15"/>
  <c r="P13" i="20"/>
  <c r="P26" i="20"/>
  <c r="AB29" i="20"/>
  <c r="AB32" i="20" s="1"/>
  <c r="AB33" i="20" s="1"/>
  <c r="AB34" i="20"/>
  <c r="Z33" i="45"/>
  <c r="B19" i="46"/>
  <c r="AB13" i="46"/>
  <c r="AB8" i="45"/>
  <c r="O57" i="17" l="1"/>
  <c r="P46" i="17"/>
  <c r="P30" i="45"/>
  <c r="P33" i="45" s="1"/>
  <c r="P34" i="45" s="1"/>
  <c r="M32" i="25"/>
  <c r="L19" i="25"/>
  <c r="M15" i="20"/>
  <c r="P28" i="20"/>
  <c r="R76" i="17"/>
  <c r="R93" i="17" s="1"/>
  <c r="R11" i="17" s="1"/>
  <c r="R92" i="17"/>
  <c r="P66" i="17"/>
  <c r="M32" i="47"/>
  <c r="L19" i="47"/>
  <c r="M12" i="21"/>
  <c r="L19" i="24"/>
  <c r="M32" i="24"/>
  <c r="M14" i="47"/>
  <c r="M14" i="48"/>
  <c r="M14" i="25"/>
  <c r="M14" i="24"/>
  <c r="Q13" i="17"/>
  <c r="C25" i="15"/>
  <c r="AB16" i="45"/>
  <c r="AC8" i="45"/>
  <c r="Z34" i="45"/>
  <c r="N14" i="24" l="1"/>
  <c r="N16" i="24" s="1"/>
  <c r="N18" i="24" s="1"/>
  <c r="R13" i="17"/>
  <c r="N14" i="47"/>
  <c r="N16" i="47" s="1"/>
  <c r="N18" i="47" s="1"/>
  <c r="N14" i="25"/>
  <c r="N16" i="25" s="1"/>
  <c r="N18" i="25" s="1"/>
  <c r="N14" i="48"/>
  <c r="N16" i="48" s="1"/>
  <c r="N18" i="48" s="1"/>
  <c r="Q62" i="17"/>
  <c r="Q15" i="17"/>
  <c r="N9" i="21"/>
  <c r="M16" i="48"/>
  <c r="M16" i="24"/>
  <c r="M13" i="21"/>
  <c r="M30" i="20"/>
  <c r="M16" i="25"/>
  <c r="M16" i="47"/>
  <c r="P51" i="17"/>
  <c r="S49" i="17"/>
  <c r="S65" i="17" s="1"/>
  <c r="S71" i="17" s="1"/>
  <c r="S73" i="17" s="1"/>
  <c r="D25" i="15"/>
  <c r="AB31" i="45"/>
  <c r="AC16" i="45"/>
  <c r="M18" i="25" l="1"/>
  <c r="P53" i="17"/>
  <c r="N7" i="20"/>
  <c r="M18" i="24"/>
  <c r="M18" i="48"/>
  <c r="Q42" i="17"/>
  <c r="O32" i="25"/>
  <c r="N19" i="25"/>
  <c r="O32" i="47"/>
  <c r="N19" i="47"/>
  <c r="N10" i="21"/>
  <c r="O9" i="21"/>
  <c r="O10" i="21" s="1"/>
  <c r="O12" i="21" s="1"/>
  <c r="O13" i="21" s="1"/>
  <c r="R15" i="17"/>
  <c r="R42" i="17" s="1"/>
  <c r="R46" i="17" s="1"/>
  <c r="R51" i="17" s="1"/>
  <c r="R62" i="17"/>
  <c r="R64" i="17" s="1"/>
  <c r="R66" i="17" s="1"/>
  <c r="M18" i="47"/>
  <c r="M34" i="20"/>
  <c r="M29" i="20"/>
  <c r="Q64" i="17"/>
  <c r="S75" i="17"/>
  <c r="S80" i="17"/>
  <c r="O32" i="24"/>
  <c r="N19" i="24"/>
  <c r="Q13" i="20"/>
  <c r="Q26" i="20"/>
  <c r="Q26" i="45"/>
  <c r="Q29" i="45" s="1"/>
  <c r="Q25" i="20"/>
  <c r="E25" i="15"/>
  <c r="AB35" i="45"/>
  <c r="AB30" i="45"/>
  <c r="AC31" i="45"/>
  <c r="C38" i="45"/>
  <c r="C39" i="45"/>
  <c r="Q28" i="20" l="1"/>
  <c r="N12" i="21"/>
  <c r="P7" i="20"/>
  <c r="P15" i="20" s="1"/>
  <c r="P30" i="20" s="1"/>
  <c r="R53" i="17"/>
  <c r="R57" i="17" s="1"/>
  <c r="M19" i="24"/>
  <c r="N32" i="24"/>
  <c r="S76" i="17"/>
  <c r="S93" i="17" s="1"/>
  <c r="S11" i="17" s="1"/>
  <c r="S92" i="17"/>
  <c r="Q46" i="17"/>
  <c r="Q66" i="17"/>
  <c r="N15" i="20"/>
  <c r="Q30" i="45"/>
  <c r="Q33" i="45" s="1"/>
  <c r="Q34" i="45" s="1"/>
  <c r="M32" i="20"/>
  <c r="P57" i="17"/>
  <c r="M19" i="47"/>
  <c r="N32" i="47"/>
  <c r="M19" i="25"/>
  <c r="N32" i="25"/>
  <c r="C26" i="15"/>
  <c r="C9" i="15" s="1"/>
  <c r="AB33" i="45"/>
  <c r="C44" i="45"/>
  <c r="AC35" i="45"/>
  <c r="N30" i="20" l="1"/>
  <c r="Q51" i="17"/>
  <c r="P29" i="20"/>
  <c r="P32" i="20" s="1"/>
  <c r="P33" i="20" s="1"/>
  <c r="P34" i="20"/>
  <c r="O14" i="24"/>
  <c r="O14" i="25"/>
  <c r="O14" i="48"/>
  <c r="O14" i="47"/>
  <c r="S13" i="17"/>
  <c r="M33" i="20"/>
  <c r="N13" i="21"/>
  <c r="T49" i="17"/>
  <c r="D26" i="15"/>
  <c r="D9" i="15" s="1"/>
  <c r="AB34" i="45"/>
  <c r="O16" i="47" l="1"/>
  <c r="O16" i="24"/>
  <c r="N34" i="20"/>
  <c r="N29" i="20"/>
  <c r="O16" i="48"/>
  <c r="O16" i="25"/>
  <c r="Q53" i="17"/>
  <c r="O7" i="20"/>
  <c r="P9" i="21"/>
  <c r="S15" i="17"/>
  <c r="S62" i="17"/>
  <c r="AE49" i="17"/>
  <c r="T65" i="17"/>
  <c r="R26" i="20"/>
  <c r="AC26" i="20" s="1"/>
  <c r="R13" i="20"/>
  <c r="AC13" i="20" s="1"/>
  <c r="R26" i="45"/>
  <c r="R25" i="20"/>
  <c r="E26" i="15"/>
  <c r="O15" i="20" l="1"/>
  <c r="P10" i="21"/>
  <c r="O18" i="48"/>
  <c r="R28" i="20"/>
  <c r="AC28" i="20" s="1"/>
  <c r="AC25" i="20"/>
  <c r="N32" i="20"/>
  <c r="S64" i="17"/>
  <c r="S42" i="17"/>
  <c r="Q57" i="17"/>
  <c r="O18" i="25"/>
  <c r="R29" i="45"/>
  <c r="AC26" i="45"/>
  <c r="T71" i="17"/>
  <c r="AE65" i="17"/>
  <c r="O18" i="24"/>
  <c r="O18" i="47"/>
  <c r="N33" i="20" l="1"/>
  <c r="P32" i="24"/>
  <c r="O19" i="24"/>
  <c r="O19" i="25"/>
  <c r="P32" i="25"/>
  <c r="S46" i="17"/>
  <c r="S66" i="17"/>
  <c r="O19" i="47"/>
  <c r="P32" i="47"/>
  <c r="T73" i="17"/>
  <c r="AE71" i="17"/>
  <c r="AE73" i="17" s="1"/>
  <c r="P12" i="21"/>
  <c r="R30" i="45"/>
  <c r="AC29" i="45"/>
  <c r="O30" i="20"/>
  <c r="O34" i="20" l="1"/>
  <c r="O29" i="20"/>
  <c r="P13" i="21"/>
  <c r="S51" i="17"/>
  <c r="R33" i="45"/>
  <c r="AC30" i="45"/>
  <c r="C42" i="45"/>
  <c r="AE80" i="17"/>
  <c r="AE75" i="17"/>
  <c r="AE76" i="17" s="1"/>
  <c r="AE77" i="17" s="1"/>
  <c r="T75" i="17"/>
  <c r="T80" i="17"/>
  <c r="O32" i="20" l="1"/>
  <c r="S53" i="17"/>
  <c r="Q7" i="20"/>
  <c r="T76" i="17"/>
  <c r="T93" i="17" s="1"/>
  <c r="T11" i="17" s="1"/>
  <c r="T92" i="17"/>
  <c r="AE92" i="17" s="1"/>
  <c r="AE93" i="17" s="1"/>
  <c r="R34" i="45"/>
  <c r="C40" i="45"/>
  <c r="C41" i="45"/>
  <c r="AC33" i="45"/>
  <c r="C43" i="45" l="1"/>
  <c r="AC34" i="45"/>
  <c r="S57" i="17"/>
  <c r="P14" i="48"/>
  <c r="P14" i="24"/>
  <c r="T13" i="17"/>
  <c r="P14" i="25"/>
  <c r="P14" i="47"/>
  <c r="AE11" i="17"/>
  <c r="Q15" i="20"/>
  <c r="O33" i="20"/>
  <c r="P16" i="47" l="1"/>
  <c r="AA14" i="47"/>
  <c r="Q30" i="20"/>
  <c r="P16" i="48"/>
  <c r="AA14" i="48"/>
  <c r="P16" i="25"/>
  <c r="AA14" i="25"/>
  <c r="Q9" i="21"/>
  <c r="T62" i="17"/>
  <c r="T15" i="17"/>
  <c r="A15" i="17"/>
  <c r="AE13" i="17"/>
  <c r="P16" i="24"/>
  <c r="AA14" i="24"/>
  <c r="P18" i="24" l="1"/>
  <c r="AA16" i="24"/>
  <c r="T42" i="17"/>
  <c r="AE15" i="17"/>
  <c r="Q10" i="21"/>
  <c r="AB9" i="21"/>
  <c r="T64" i="17"/>
  <c r="AE62" i="17"/>
  <c r="P18" i="25"/>
  <c r="AA16" i="25"/>
  <c r="P18" i="48"/>
  <c r="AA18" i="48" s="1"/>
  <c r="AA16" i="48"/>
  <c r="Q34" i="20"/>
  <c r="Q29" i="20"/>
  <c r="P18" i="47"/>
  <c r="AA16" i="47"/>
  <c r="T66" i="17" l="1"/>
  <c r="AE64" i="17"/>
  <c r="AE66" i="17" s="1"/>
  <c r="Q32" i="47"/>
  <c r="P19" i="47"/>
  <c r="B28" i="47"/>
  <c r="B27" i="47"/>
  <c r="AA18" i="47"/>
  <c r="Q32" i="20"/>
  <c r="Q32" i="25"/>
  <c r="P19" i="25"/>
  <c r="B33" i="25" s="1"/>
  <c r="B33" i="48" s="1"/>
  <c r="AA18" i="25"/>
  <c r="B27" i="25"/>
  <c r="B28" i="48" s="1"/>
  <c r="B28" i="25"/>
  <c r="B29" i="48" s="1"/>
  <c r="T46" i="17"/>
  <c r="AE42" i="17"/>
  <c r="Q12" i="21"/>
  <c r="AB10" i="21"/>
  <c r="P19" i="24"/>
  <c r="B33" i="24" s="1"/>
  <c r="Q32" i="24"/>
  <c r="B28" i="24"/>
  <c r="AA18" i="24"/>
  <c r="B27" i="24"/>
  <c r="T51" i="17" l="1"/>
  <c r="AE46" i="17"/>
  <c r="AE51" i="17" s="1"/>
  <c r="B30" i="25"/>
  <c r="B31" i="48" s="1"/>
  <c r="B29" i="25"/>
  <c r="B30" i="48" s="1"/>
  <c r="AA20" i="24"/>
  <c r="AA21" i="24" s="1"/>
  <c r="AA22" i="47"/>
  <c r="AA23" i="47" s="1"/>
  <c r="Q33" i="20"/>
  <c r="Q13" i="21"/>
  <c r="B18" i="21"/>
  <c r="AB12" i="21"/>
  <c r="B16" i="21"/>
  <c r="B17" i="21"/>
  <c r="AA19" i="47"/>
  <c r="B33" i="47"/>
  <c r="B29" i="47"/>
  <c r="B30" i="47"/>
  <c r="B30" i="24"/>
  <c r="B29" i="24"/>
  <c r="B19" i="21" l="1"/>
  <c r="AB13" i="21"/>
  <c r="R7" i="20"/>
  <c r="T53" i="17"/>
  <c r="T57" i="17" l="1"/>
  <c r="AE57" i="17" s="1"/>
  <c r="AE53" i="17"/>
  <c r="R15" i="20"/>
  <c r="AC7" i="20"/>
  <c r="R30" i="20" l="1"/>
  <c r="AC15" i="20"/>
  <c r="R29" i="20" l="1"/>
  <c r="R34" i="20"/>
  <c r="C43" i="20" s="1"/>
  <c r="AC30" i="20"/>
  <c r="C37" i="20"/>
  <c r="C38" i="20"/>
  <c r="R32" i="20" l="1"/>
  <c r="C41" i="20"/>
  <c r="AC29" i="20"/>
  <c r="R33" i="20" l="1"/>
  <c r="C42" i="20" s="1"/>
  <c r="C40" i="20"/>
  <c r="C3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tc={AF6D60E1-4E03-4460-84BE-620F63C96FDA}</author>
    <author>José Manuel Heredia</author>
    <author>tc={66A72542-B0D2-4553-A9E3-75032F9B36E1}</author>
    <author>tc={8E2F8832-64D3-4823-A9D7-8E5783A5AB1D}</author>
    <author>tc={5D6E1EF0-5F72-4E86-97C0-FCD885B7CE14}</author>
  </authors>
  <commentList>
    <comment ref="I6" authorId="0" shapeId="0" xr:uid="{AF6D60E1-4E03-4460-84BE-620F63C96FDA}">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F18" authorId="1" shapeId="0" xr:uid="{9F807DE1-3C0C-4E45-A418-F1DACD2CC12B}">
      <text>
        <r>
          <rPr>
            <b/>
            <sz val="9"/>
            <color indexed="81"/>
            <rFont val="Tahoma"/>
            <family val="2"/>
          </rPr>
          <t>José Manuel Heredia:</t>
        </r>
        <r>
          <rPr>
            <sz val="9"/>
            <color indexed="81"/>
            <rFont val="Tahoma"/>
            <family val="2"/>
          </rPr>
          <t xml:space="preserve">
Tipo Euríbor a 12 meses a peche do mercado do día 20-02-2024.</t>
        </r>
      </text>
    </comment>
    <comment ref="C20" authorId="2" shapeId="0" xr:uid="{66A72542-B0D2-4553-A9E3-75032F9B36E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I24" authorId="1" shapeId="0" xr:uid="{C210DB49-C821-434F-8953-765231AEE585}">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B25" authorId="1" shapeId="0" xr:uid="{C068852E-EA09-4BE8-880E-DB5531E2F94C}">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I25" authorId="1" shapeId="0" xr:uid="{5414A856-F22A-48F5-A704-C449D83018D5}">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I26" authorId="1" shapeId="0" xr:uid="{255A4A95-B27E-4292-81A1-97BB408E62ED}">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B27" authorId="1" shapeId="0" xr:uid="{A9137D9B-2550-48D2-9ECA-3807FEE2BAA2}">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I27" authorId="1" shapeId="0" xr:uid="{3B37FF39-E3C8-48FD-BF53-CDC26938574A}">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F30" authorId="3" shapeId="0" xr:uid="{8E2F8832-64D3-4823-A9D7-8E5783A5AB1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B34" authorId="4" shapeId="0" xr:uid="{5D6E1EF0-5F72-4E86-97C0-FCD885B7CE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Manuel Heredia</author>
    <author>tc={D3BABB68-DF78-4851-B760-228452AD0F07}</author>
    <author>tc={A21065AE-FC24-41AD-9D6F-30F53E1CC08F}</author>
    <author>tc={E4204989-631F-44FB-AAEB-C483E076EB0C}</author>
  </authors>
  <commentList>
    <comment ref="B4" authorId="0" shapeId="0" xr:uid="{06C05D79-B1EC-4741-A30F-1FAF68F481D8}">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B10" authorId="0" shapeId="0" xr:uid="{812E349A-1EA1-43ED-9D4A-7E68FB4E6D5D}">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16" authorId="1" shapeId="0" xr:uid="{D3BABB68-DF78-4851-B760-228452AD0F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C17" authorId="0" shapeId="0" xr:uid="{149D9B89-BDD2-4735-A428-29CDDC769CF2}">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D17" authorId="0" shapeId="0" xr:uid="{F687982E-053E-46FF-9EA8-96A9BFE27E86}">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C25" authorId="0" shapeId="0" xr:uid="{A7CA28C3-8426-4BCE-96A0-58DAE6297109}">
      <text>
        <r>
          <rPr>
            <b/>
            <sz val="9"/>
            <color indexed="81"/>
            <rFont val="Tahoma"/>
            <family val="2"/>
          </rPr>
          <t>José Manuel Heredia:</t>
        </r>
        <r>
          <rPr>
            <sz val="9"/>
            <color indexed="81"/>
            <rFont val="Tahoma"/>
            <family val="2"/>
          </rPr>
          <t xml:space="preserve">
Tomamos aquí como Unidades, directamente, os Metros cadrados de terreo necesarios para emprazar as instalacións de xeración de enerxía.</t>
        </r>
      </text>
    </comment>
    <comment ref="D25" authorId="2" shapeId="0" xr:uid="{A21065AE-FC24-41AD-9D6F-30F53E1CC0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E36" authorId="0" shapeId="0" xr:uid="{1C72BE74-0702-424C-8B91-FFC1EB28366E}">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D44" authorId="0" shapeId="0" xr:uid="{84FA32A6-B31B-4DB5-9000-CA933707EA63}">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D45" authorId="0" shapeId="0" xr:uid="{C4D3735E-26F2-4C05-A2EF-416C1CC2E334}">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E60" authorId="3" shapeId="0" xr:uid="{E4204989-631F-44FB-AAEB-C483E076EB0C}">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E64" authorId="0" shapeId="0" xr:uid="{0FD3657B-70D4-46B4-9D53-1DE326D148DA}">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B72" authorId="0" shapeId="0" xr:uid="{032066E8-7095-4ADD-A49D-C272FD68614C}">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tc={85799BD2-98EE-4D86-8FA7-0961506A16C7}</author>
  </authors>
  <commentList>
    <comment ref="C65" authorId="0" shapeId="0" xr:uid="{85799BD2-98EE-4D86-8FA7-0961506A16C7}">
      <text>
        <t>[Comentario encadenado]
Su versión de Excel le permite leer este comentario encadenado; sin embargo, las ediciones que se apliquen se quitarán si el archivo se abre en una versión más reciente de Excel. Más información: https://go.microsoft.com/fwlink/?linkid=870924
Comentario:
    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José Manuel Heredia</author>
    <author>tc={7FE6A0A2-45F8-4442-BCFD-B3071ADEBE69}</author>
    <author>tc={1C5D4332-C543-42AE-B16A-673B17BB09F8}</author>
    <author>tc={228344A0-F520-4131-90D7-704FCC9F6E59}</author>
    <author>tc={93BD2D00-EAA6-4FA4-A468-A5E092BA38C1}</author>
    <author>tc={BECC5EDE-84D6-4549-A4CA-3546773C297A}</author>
    <author>tc={95BCE84C-69CE-415B-A985-331D4095F444}</author>
  </authors>
  <commentList>
    <comment ref="F21" authorId="0" shapeId="0" xr:uid="{00000000-0006-0000-0100-000001000000}">
      <text>
        <r>
          <rPr>
            <b/>
            <sz val="9"/>
            <color indexed="81"/>
            <rFont val="Tahoma"/>
            <family val="2"/>
          </rPr>
          <t>José Manuel Heredia:</t>
        </r>
        <r>
          <rPr>
            <sz val="9"/>
            <color indexed="81"/>
            <rFont val="Tahoma"/>
            <family val="2"/>
          </rPr>
          <t xml:space="preserve">
Tipo Euríbor a 12 meses a peche do mercado do día 20-02-2024.</t>
        </r>
      </text>
    </comment>
    <comment ref="C22" authorId="1" shapeId="0" xr:uid="{7FE6A0A2-45F8-4442-BCFD-B3071ADEBE69}">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C40" authorId="0" shapeId="0" xr:uid="{00000000-0006-0000-0100-000002000000}">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F40" authorId="2" shapeId="0" xr:uid="{1C5D4332-C543-42AE-B16A-673B17BB09F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C41" authorId="0" shapeId="0" xr:uid="{00000000-0006-0000-0100-000003000000}">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F41" authorId="3" shapeId="0" xr:uid="{228344A0-F520-4131-90D7-704FCC9F6E59}">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2-3€/Mes.</t>
      </text>
    </comment>
    <comment ref="C42" authorId="0" shapeId="0" xr:uid="{00000000-0006-0000-0100-00000400000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I47" authorId="4" shapeId="0" xr:uid="{93BD2D00-EAA6-4FA4-A468-A5E092BA38C1}">
      <text>
        <t>[Comentario encadenado]
Su versión de Excel le permite leer este comentario encadenado; sin embargo, las ediciones que se apliquen se quitarán si el archivo se abre en una versión más reciente de Excel. Más información: https://go.microsoft.com/fwlink/?linkid=870924
Comentario:
    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
      </text>
    </comment>
    <comment ref="B70" authorId="0" shapeId="0" xr:uid="{00000000-0006-0000-0100-000005000000}">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B71" authorId="0" shapeId="0" xr:uid="{138890A3-BEB4-43F2-8D8F-14DB94918076}">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G79" authorId="5" shapeId="0" xr:uid="{BECC5EDE-84D6-4549-A4CA-3546773C297A}">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C84" authorId="6" shapeId="0" xr:uid="{95BCE84C-69CE-415B-A985-331D4095F444}">
      <text>
        <t>[Comentario encadenado]
Su versión de Excel le permite leer este comentario encadenado; sin embargo, las ediciones que se apliquen se quitarán si el archivo se abre en una versión más reciente de Excel. Más información: https://go.microsoft.com/fwlink/?linkid=870924
Comentario:
    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José Manuel Heredia</author>
    <author>tc={43567F22-9169-4FC6-8575-5EF1AA95E23A}</author>
  </authors>
  <commentList>
    <comment ref="C17" authorId="0" shapeId="0" xr:uid="{00000000-0006-0000-05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00000000-0006-0000-05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39" authorId="0" shapeId="0" xr:uid="{00000000-0006-0000-0500-000003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 ref="C65" authorId="1" shapeId="0" xr:uid="{43567F22-9169-4FC6-8575-5EF1AA95E23A}">
      <text>
        <t>[Comentario encadenado]
Su versión de Excel le permite leer este comentario encadenado; sin embargo, las ediciones que se apliquen se quitarán si el archivo se abre en una versión más reciente de Excel. Más información: https://go.microsoft.com/fwlink/?linkid=870924
Comentario:
    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José Manuel Heredia</author>
    <author>tc={634CB3CC-61A5-4619-8214-46F41242569A}</author>
    <author>tc={FD4ED7E5-987E-4F0F-8018-C07A5F0918E0}</author>
    <author>tc={C3E7DECB-C399-473B-A47B-837B60038128}</author>
    <author>tc={1A53A385-6C05-4498-B08D-FEAF6C7FBEED}</author>
    <author>tc={CB03E789-53F0-4B71-A686-BB133CD9BE35}</author>
    <author>tc={FA872BEC-2D23-4392-BC6E-323D0D39278E}</author>
    <author>tc={2B37EEA1-FFC5-4074-903E-B126AE48D469}</author>
    <author>tc={64284664-C933-4D3C-B8D7-D097F3FFEA58}</author>
    <author>tc={0C04CF11-AA30-467C-91C1-F1B84B496965}</author>
    <author>tc={538CE0FC-39A9-4531-8395-A26599AAF46D}</author>
    <author>tc={22AC481D-0AB7-40C1-BADC-DA1833E40F6E}</author>
    <author>tc={3A1C00E7-A9DC-496F-84EF-5B601AA74F05}</author>
  </authors>
  <commentList>
    <comment ref="C7" authorId="0" shapeId="0" xr:uid="{00000000-0006-0000-06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3" authorId="0" shapeId="0" xr:uid="{00000000-0006-0000-06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D17" authorId="1" shapeId="0" xr:uid="{634CB3CC-61A5-4619-8214-46F41242569A}">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F17" authorId="2" shapeId="0" xr:uid="{FD4ED7E5-987E-4F0F-8018-C07A5F0918E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
      </text>
    </comment>
    <comment ref="D18" authorId="0" shapeId="0" xr:uid="{00000000-0006-0000-0600-000003000000}">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E18" authorId="0" shapeId="0" xr:uid="{00000000-0006-0000-0600-000004000000}">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F18" authorId="3" shapeId="0" xr:uid="{C3E7DECB-C399-473B-A47B-837B60038128}">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
      </text>
    </comment>
    <comment ref="F19" authorId="4" shapeId="0" xr:uid="{1A53A385-6C05-4498-B08D-FEAF6C7FBEED}">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
      </text>
    </comment>
    <comment ref="F20" authorId="5" shapeId="0" xr:uid="{CB03E789-53F0-4B71-A686-BB133CD9BE35}">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
      </text>
    </comment>
    <comment ref="D23" authorId="6" shapeId="0" xr:uid="{FA872BEC-2D23-4392-BC6E-323D0D39278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cela cumpliméntase automaticamente  en coherencia co que respecto da subcontratación das actividades de xestión se teña indicado en Hipóteses Xerais.</t>
      </text>
    </comment>
    <comment ref="D31" authorId="0" shapeId="0" xr:uid="{639E696C-10DC-4D5E-B87E-43F54DA7E4C7}">
      <text>
        <r>
          <rPr>
            <b/>
            <sz val="9"/>
            <color indexed="81"/>
            <rFont val="Tahoma"/>
            <family val="2"/>
          </rPr>
          <t>José Manuel Heredia:</t>
        </r>
        <r>
          <rPr>
            <sz val="9"/>
            <color indexed="81"/>
            <rFont val="Tahoma"/>
            <family val="2"/>
          </rPr>
          <t xml:space="preserve">
Tomamos aquí como Unidades os Metros cadrados de terreo necesarios para emprazar as instalacións de xeración de enerxía.</t>
        </r>
      </text>
    </comment>
    <comment ref="E31" authorId="7" shapeId="0" xr:uid="{2B37EEA1-FFC5-4074-903E-B126AE48D469}">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F42" authorId="0" shapeId="0" xr:uid="{00000000-0006-0000-0600-000005000000}">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F49" authorId="8" shapeId="0" xr:uid="{64284664-C933-4D3C-B8D7-D097F3FFEA58}">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
      </text>
    </comment>
    <comment ref="E50" authorId="0" shapeId="0" xr:uid="{00000000-0006-0000-0600-000006000000}">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F50" authorId="9" shapeId="0" xr:uid="{0C04CF11-AA30-467C-91C1-F1B84B496965}">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1" authorId="0" shapeId="0" xr:uid="{00000000-0006-0000-0600-000007000000}">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F51" authorId="10" shapeId="0" xr:uid="{538CE0FC-39A9-4531-8395-A26599AAF46D}">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4" authorId="11" shapeId="0" xr:uid="{22AC481D-0AB7-40C1-BADC-DA1833E40F6E}">
      <text>
        <t>[Comentario encadenado]
Su versión de Excel le permite leer este comentario encadenado; sin embargo, las ediciones que se apliquen se quitarán si el archivo se abre en una versión más reciente de Excel. Más información: https://go.microsoft.com/fwlink/?linkid=870924
Comentario:
    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
      </text>
    </comment>
    <comment ref="F55" authorId="0" shapeId="0" xr:uid="{00000000-0006-0000-0600-000008000000}">
      <text>
        <r>
          <rPr>
            <b/>
            <sz val="9"/>
            <color indexed="81"/>
            <rFont val="Tahoma"/>
            <family val="2"/>
          </rPr>
          <t>José Manuel Heredia:</t>
        </r>
        <r>
          <rPr>
            <sz val="9"/>
            <color indexed="81"/>
            <rFont val="Tahoma"/>
            <family val="2"/>
          </rPr>
          <t xml:space="preserve">
En canto aos gastos xerais non incluídos noutros epígrafes, se os Gastos en Asesoramento contable son maiores ou iguais ao 5% da cifra de negocios, esta partida toma valor cero. Se estes gastos fosen menores, esta partida sería a diferencia entre o 5% da cifra de negocios e os Gastos en Asesoramento Contable. Deste Xeito, o importe de 'Gastos Xerais non incluídos noutros epígrafes' o que garante é que a partida de 'Outros Servizos' nunca será inferior ao 5% da cifra de negocios, aínda que podería ser superior se existen gastos de Asesoramento Contable suficientemente elevados.</t>
        </r>
      </text>
    </comment>
    <comment ref="F63" authorId="12" shapeId="0" xr:uid="{3A1C00E7-A9DC-496F-84EF-5B601AA74F05}">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F67" authorId="0" shapeId="0" xr:uid="{00000000-0006-0000-0600-00000A000000}">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C75" authorId="0" shapeId="0" xr:uid="{00000000-0006-0000-0600-00000B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3" authorId="0" shapeId="0" xr:uid="{00000000-0006-0000-0700-000002000000}">
      <text>
        <r>
          <rPr>
            <b/>
            <sz val="9"/>
            <color indexed="81"/>
            <rFont val="Tahoma"/>
            <family val="2"/>
          </rPr>
          <t>José Manuel Heredia:</t>
        </r>
        <r>
          <rPr>
            <sz val="9"/>
            <color indexed="81"/>
            <rFont val="Tahoma"/>
            <family val="2"/>
          </rPr>
          <t xml:space="preserve">
Tómase o valor do precio promedio no mercado diario de electricidade, correspondente ao conxunto do ano 2023, sen considerar servizos de axuste e outros conceptos adicionais, segundo os datos de REE.</t>
        </r>
      </text>
    </comment>
    <comment ref="C29" authorId="0" shapeId="0" xr:uid="{00000000-0006-0000-0700-000003000000}">
      <text>
        <r>
          <rPr>
            <b/>
            <sz val="9"/>
            <color indexed="81"/>
            <rFont val="Tahoma"/>
            <family val="2"/>
          </rPr>
          <t>José Manuel Heredia:</t>
        </r>
        <r>
          <rPr>
            <sz val="9"/>
            <color indexed="81"/>
            <rFont val="Tahoma"/>
            <family val="2"/>
          </rPr>
          <t xml:space="preserve">
Proporción que representaría o "Valor da Enerxía Valorable Económicamente" sobre o "Valor Total da Enerxía Producida", expresada 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José Manuel Heredia</author>
    <author>tc={1010FB83-9FDD-449D-875A-4941CC1E1C23}</author>
  </authors>
  <commentList>
    <comment ref="B28" authorId="0" shapeId="0" xr:uid="{00000000-0006-0000-0800-000001000000}">
      <text>
        <r>
          <rPr>
            <b/>
            <sz val="9"/>
            <color indexed="81"/>
            <rFont val="Tahoma"/>
            <family val="2"/>
          </rPr>
          <t>José Manuel Heredia:</t>
        </r>
        <r>
          <rPr>
            <sz val="9"/>
            <color indexed="81"/>
            <rFont val="Tahoma"/>
            <family val="2"/>
          </rPr>
          <t xml:space="preserve">
No noso suposto, dase a peculiar circunstancia de que, no conxunto dos anos, o Fluxo de caixa das Actividades de Financiamento é Positivo. Isto sucede, esencialmente, debido ao papel da subvención pública non reintegrable, de 45.000€ que se asume cobrada no primeiro ano e que non é preciso devolver.
Ademais, o capital se recibe dos socios e, nun principio, non se reintegra a estes nin se remunera, xa que non contemplamos especificamente aquí ningunha posible redución de capital con devolución de aportacións, nin tampouco a distribución de ningún dividendo como retribución dos fondos propios aportados.</t>
        </r>
      </text>
    </comment>
    <comment ref="B30" authorId="0" shapeId="0" xr:uid="{00000000-0006-0000-0800-000002000000}">
      <text>
        <r>
          <rPr>
            <b/>
            <sz val="9"/>
            <color indexed="81"/>
            <rFont val="Tahoma"/>
            <family val="2"/>
          </rPr>
          <t>José Manuel Heredia:</t>
        </r>
        <r>
          <rPr>
            <sz val="9"/>
            <color indexed="81"/>
            <rFont val="Tahoma"/>
            <family val="2"/>
          </rPr>
          <t xml:space="preserve">
En liña co sinalado en relación ao Fluxo de Caixa dos Accionistas, o feito de que este resulte positivo en termos globais provoca a atípica circunstancia de que, no conxunto dos anos considerados, o fluxo de caixa dispoñible para remunerar aos accionistas sexa efectivamente superior có Fluxo de Caixa xerado polo propio Proxecto. </t>
        </r>
      </text>
    </comment>
    <comment ref="B32" authorId="0" shapeId="0" xr:uid="{00000000-0006-0000-0800-000003000000}">
      <text>
        <r>
          <rPr>
            <b/>
            <sz val="9"/>
            <color indexed="81"/>
            <rFont val="Tahoma"/>
            <family val="2"/>
          </rPr>
          <t>José Manuel Heredia:</t>
        </r>
        <r>
          <rPr>
            <sz val="9"/>
            <color indexed="81"/>
            <rFont val="Tahoma"/>
            <family val="2"/>
          </rPr>
          <t xml:space="preserve">
Trátase dun Cash Flow Teórico ou Potencial que toma no primeiro ano valor negativo por importe igual ao capital aportado polos socios e, no resto dos anos, toma o valor do Cash Flow Dispoñible para -eventualmente- retribuír aos accionistas.</t>
        </r>
      </text>
    </comment>
    <comment ref="E40" authorId="1" shapeId="0" xr:uid="{1010FB83-9FDD-449D-875A-4941CC1E1C2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5" authorId="0" shapeId="0" xr:uid="{00000000-0006-0000-0500-000001000000}">
      <text>
        <r>
          <rPr>
            <b/>
            <sz val="9"/>
            <color indexed="81"/>
            <rFont val="Tahoma"/>
            <family val="2"/>
          </rPr>
          <t>Autor:</t>
        </r>
        <r>
          <rPr>
            <sz val="9"/>
            <color indexed="81"/>
            <rFont val="Tahoma"/>
            <family val="2"/>
          </rPr>
          <t xml:space="preserve">
O Valor calcúlase sobre unha base de enerxía (KWh.) que resulta de aplicar sobre a enerxía compensada a proporción da enerxía compensada que, efectivamente, é obxecto de retribución por parte da comercializadora.</t>
        </r>
      </text>
    </comment>
    <comment ref="A26" authorId="0" shapeId="0" xr:uid="{00000000-0006-0000-0500-000002000000}">
      <text>
        <r>
          <rPr>
            <b/>
            <sz val="9"/>
            <color indexed="81"/>
            <rFont val="Tahoma"/>
            <family val="2"/>
          </rPr>
          <t>Autor:</t>
        </r>
        <r>
          <rPr>
            <sz val="9"/>
            <color indexed="81"/>
            <rFont val="Tahoma"/>
            <family val="2"/>
          </rPr>
          <t xml:space="preserve">
No caso da enerxía vendida, pola contra, o 100% da enerxía vendida é retribuída pola comercializadora.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200-000001000000}">
      <text>
        <r>
          <rPr>
            <b/>
            <sz val="9"/>
            <color indexed="81"/>
            <rFont val="Tahoma"/>
            <family val="2"/>
          </rPr>
          <t>Autor:</t>
        </r>
        <r>
          <rPr>
            <sz val="9"/>
            <color indexed="81"/>
            <rFont val="Tahoma"/>
            <family val="2"/>
          </rPr>
          <t xml:space="preserve">
Obtemos este valor por diferenzas co resto dos conceptos implicados no subtotal correspondente, os cales non dependen do consumo. Este valor permite obter a enerxía efectivamente mercada á comercializadora por cada socio, dividíndoo entre o prezo ao que a comercializadora vende a enerxía ao socio.</t>
        </r>
      </text>
    </comment>
    <comment ref="A17" authorId="0" shapeId="0" xr:uid="{00000000-0006-0000-0200-000002000000}">
      <text>
        <r>
          <rPr>
            <b/>
            <sz val="9"/>
            <color indexed="81"/>
            <rFont val="Tahoma"/>
            <family val="2"/>
          </rPr>
          <t>Autor:</t>
        </r>
        <r>
          <rPr>
            <sz val="9"/>
            <color indexed="81"/>
            <rFont val="Tahoma"/>
            <family val="2"/>
          </rPr>
          <t xml:space="preserve">
Cando xa coñecemos o nivel de aforro que é preciso obter en factura para cada socio, calculamos o importe que debe ter a nova factura, restando o aforro a obter da contía da factura inicial. A partir deste novo importe de factura, imos progresando, cara arriba, para obter as distintas partidas da factura que debe corresponder ao socio e chegar ao valor da enerxía que, de ser o caso, deba mercar á comercializadora.</t>
        </r>
      </text>
    </comment>
    <comment ref="A19" authorId="0" shapeId="0" xr:uid="{00000000-0006-0000-0200-000003000000}">
      <text>
        <r>
          <rPr>
            <b/>
            <sz val="9"/>
            <color indexed="81"/>
            <rFont val="Tahoma"/>
            <family val="2"/>
          </rPr>
          <t>Autor:</t>
        </r>
        <r>
          <rPr>
            <sz val="9"/>
            <color indexed="81"/>
            <rFont val="Tahoma"/>
            <family val="2"/>
          </rPr>
          <t xml:space="preserve">
Se o aforro total que é preciso acadar para cada un dos socios é superior ao máximo nivel de aforro que pode acadarse na súa factura, entón aplícase ese máximo nivel de aforro acadable. Noutro caso, aplícase o aforro preciso, de xeito que se realiza en factura a totalidade do aforro necesario.</t>
        </r>
      </text>
    </comment>
    <comment ref="A20" authorId="0" shapeId="0" xr:uid="{00000000-0006-0000-0200-000004000000}">
      <text>
        <r>
          <rPr>
            <b/>
            <sz val="9"/>
            <color indexed="81"/>
            <rFont val="Tahoma"/>
            <family val="2"/>
          </rPr>
          <t>Autor:</t>
        </r>
        <r>
          <rPr>
            <sz val="9"/>
            <color indexed="81"/>
            <rFont val="Tahoma"/>
            <family val="2"/>
          </rPr>
          <t xml:space="preserve">
Este valor (Aforro Preciso), tómase directamente da Pestana de 'Ingresos Socios'. Coñecendo este valor, así como o valor máximo do aforro que pode acadarse en factura, pode estimarse que aforro é preciso obter vía compensación ou venda da enerxía, para cada socio, a fin de que o seu resultado neto poida ser finalmente dun aforro do 50% do importe da súa factura inicial.</t>
        </r>
      </text>
    </comment>
    <comment ref="A21" authorId="0" shapeId="0" xr:uid="{00000000-0006-0000-0200-000005000000}">
      <text>
        <r>
          <rPr>
            <b/>
            <sz val="9"/>
            <color indexed="81"/>
            <rFont val="Tahoma"/>
            <family val="2"/>
          </rPr>
          <t>Autor:</t>
        </r>
        <r>
          <rPr>
            <sz val="9"/>
            <color indexed="81"/>
            <rFont val="Tahoma"/>
            <family val="2"/>
          </rPr>
          <t xml:space="preserve">
Este aforro que é preciso realizar pola compensación ou venda da enerxía será, para cada socio, a diferenza entre o aforro preciso total e o que se realiza efectivamente en factura.</t>
        </r>
      </text>
    </comment>
    <comment ref="A27" authorId="0" shapeId="0" xr:uid="{00000000-0006-0000-0200-000006000000}">
      <text>
        <r>
          <rPr>
            <b/>
            <sz val="9"/>
            <color indexed="81"/>
            <rFont val="Tahoma"/>
            <family val="2"/>
          </rPr>
          <t>Autor:</t>
        </r>
        <r>
          <rPr>
            <sz val="9"/>
            <color indexed="81"/>
            <rFont val="Tahoma"/>
            <family val="2"/>
          </rPr>
          <t xml:space="preserve">
Este concepto só toma valor distinto de cero cando existe enerxía que se destina a compensación. En tal caso, o seu valor coincidirá co aforro que é preciso obter en compensación/venda.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17" authorId="0" shapeId="0" xr:uid="{72536C20-128E-4D49-B14A-59BE97A14AF2}">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66038C88-0A50-4241-A3C3-828A1BD328B5}">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<sst xmlns="http://schemas.openxmlformats.org/spreadsheetml/2006/main" count="3547" uniqueCount="1805">
  <si>
    <t>Galego</t>
  </si>
  <si>
    <t>Galicia</t>
  </si>
  <si>
    <t>Rest of Spain</t>
  </si>
  <si>
    <t>Pontevedra</t>
  </si>
  <si>
    <t>******</t>
  </si>
  <si>
    <t>No</t>
  </si>
  <si>
    <t>Fixed</t>
  </si>
  <si>
    <t>Yes</t>
  </si>
  <si>
    <t>Sale</t>
  </si>
  <si>
    <t>Manual</t>
  </si>
  <si>
    <t>Cadena</t>
  </si>
  <si>
    <t>Self-Management</t>
  </si>
  <si>
    <t>Non</t>
  </si>
  <si>
    <t>Taxa Autonómica por Verificación de capacidades e requisitos técnicos (32.37.01 Anexo 3)</t>
  </si>
  <si>
    <t>Taxa Autonómica por Inscrición no Rexistro Administrativo das Instalacións de Produción de Electricidade (32.37.04 Anexo 3)</t>
  </si>
  <si>
    <t>Taxa Autonómica por Autorización Administrativa de Outras Instalacións de Produción Eléctrica (32.37.06 Anexo 3)</t>
  </si>
  <si>
    <t>VAT (Reduced Electricity Tax Rate)</t>
  </si>
  <si>
    <t>Valor Cela 'IVE'</t>
  </si>
  <si>
    <t>H</t>
  </si>
  <si>
    <t>R</t>
  </si>
  <si>
    <t>S</t>
  </si>
  <si>
    <t>Eestlane</t>
  </si>
  <si>
    <t>English</t>
  </si>
  <si>
    <t>Español</t>
  </si>
  <si>
    <t>Hipóteses Xerais</t>
  </si>
  <si>
    <t>Üldised Hüpoteesid</t>
  </si>
  <si>
    <t>General Hypotheses</t>
  </si>
  <si>
    <t>Hipótesis Generales</t>
  </si>
  <si>
    <t>Lingua</t>
  </si>
  <si>
    <t>Keel</t>
  </si>
  <si>
    <t>Language</t>
  </si>
  <si>
    <t>Idioma</t>
  </si>
  <si>
    <t>Emprazamento das Instalacións (Xeral)</t>
  </si>
  <si>
    <t>Rajatiste Asukoht (Galicia)</t>
  </si>
  <si>
    <t>Facilities Location (General)</t>
  </si>
  <si>
    <t>Emplazamiento de las Instalaciones (General)</t>
  </si>
  <si>
    <t>Área Xeográfica</t>
  </si>
  <si>
    <t>Geograafiline Piirkond</t>
  </si>
  <si>
    <t>Geographic Area</t>
  </si>
  <si>
    <t>Área Geográfica</t>
  </si>
  <si>
    <t>Resto de España</t>
  </si>
  <si>
    <t>Ülejäänud Hispaania</t>
  </si>
  <si>
    <t>Estranxeiro</t>
  </si>
  <si>
    <t>Teised Riigid</t>
  </si>
  <si>
    <t>Other Countries</t>
  </si>
  <si>
    <t>Extranjero</t>
  </si>
  <si>
    <t>Provincia ou Rexión</t>
  </si>
  <si>
    <t>Provints või Piirkond</t>
  </si>
  <si>
    <t>Province or Region</t>
  </si>
  <si>
    <t>Provincia o Región</t>
  </si>
  <si>
    <t>Provincia</t>
  </si>
  <si>
    <t>Provints</t>
  </si>
  <si>
    <t>Province</t>
  </si>
  <si>
    <t>Concello ou Termo Municipal</t>
  </si>
  <si>
    <t>Linn või Küla</t>
  </si>
  <si>
    <t>City or Village</t>
  </si>
  <si>
    <t>Ayuntamiento o Término Municipal</t>
  </si>
  <si>
    <t>Emprazamento das Instalacións (Galicia)</t>
  </si>
  <si>
    <t>Facilities Location (Galicia)</t>
  </si>
  <si>
    <t>Emplazamiento de las Instalaciones (Galicia)</t>
  </si>
  <si>
    <t>CC.AA.</t>
  </si>
  <si>
    <t>Piirkond</t>
  </si>
  <si>
    <t>Region</t>
  </si>
  <si>
    <t>Concello</t>
  </si>
  <si>
    <t>Raekoda</t>
  </si>
  <si>
    <t>Ayntamiento</t>
  </si>
  <si>
    <t>Parroquia</t>
  </si>
  <si>
    <t>Linna- Või Külapiirkond</t>
  </si>
  <si>
    <t>City or Village District</t>
  </si>
  <si>
    <t>A Coruña</t>
  </si>
  <si>
    <t>Lugo</t>
  </si>
  <si>
    <t>Ourense</t>
  </si>
  <si>
    <t>Dispoñibilidade de Terreos para Emprazar as Instalacións</t>
  </si>
  <si>
    <t xml:space="preserve">Maa Kättesaadavus Rajatiste Asukoha Jaoks </t>
  </si>
  <si>
    <t>Land Availability for Facilities Location</t>
  </si>
  <si>
    <t>Disponibilidad de Terrenos para Emplazar las Instalaciones</t>
  </si>
  <si>
    <t>Superficie de Terreo Dispoñible (m2)</t>
  </si>
  <si>
    <t>Kasutatav MaaAala (m2)</t>
  </si>
  <si>
    <t>Land Surface Available (m2)</t>
  </si>
  <si>
    <t>Superficie de Terreno Disponible (m2)</t>
  </si>
  <si>
    <t>Superficie Precisa para Corredores (m2)</t>
  </si>
  <si>
    <t>Hoolduskoridoride Jaoks Vajalik Maa-Ala (m2)</t>
  </si>
  <si>
    <t>Land Surface Necessary for Maintenance Corridors (m2)</t>
  </si>
  <si>
    <t>Superficie Necesaria para Pasillos de Mantenimiento (m2)</t>
  </si>
  <si>
    <t>Prazo da Instalación (Anos)</t>
  </si>
  <si>
    <t>Projekti Ajahorisont (Aastad)</t>
  </si>
  <si>
    <t>Project Time Horizon (Years)</t>
  </si>
  <si>
    <t>Plazo de la Instalación (Años)</t>
  </si>
  <si>
    <t>IVE - Venda de Mercaderías, Gastos e Investimentos (%)</t>
  </si>
  <si>
    <t>Käibemaks – Kaupade Müük, Kulud ja Investeeringud (%)</t>
  </si>
  <si>
    <t>VAT - Merchandise Sales, Expenses and Investments</t>
  </si>
  <si>
    <t>IVA - Venta de Mercaderías, Gastos e Inversiones (%)</t>
  </si>
  <si>
    <t>IVE - Período de Liquidación (Meses)</t>
  </si>
  <si>
    <t>Käibemaks – Arveldusperiood (Kuud)</t>
  </si>
  <si>
    <t>VAT - Settlement Period (Months)</t>
  </si>
  <si>
    <t>IVA - Periodo de Liquidación (Meses)</t>
  </si>
  <si>
    <t>Tipo Impositivo IS (%)</t>
  </si>
  <si>
    <t>Ettevõtte Tulumaksumäär (%)</t>
  </si>
  <si>
    <t>Corporate Income Tax Rate (%)</t>
  </si>
  <si>
    <t>Necesidade de Prestación de Garantía á Administración (Si / Non)</t>
  </si>
  <si>
    <t>Vajadus Anda Avaliku Halduse/võimu Jaoks Majanduslikke Tagatisi (Jah/Ei)</t>
  </si>
  <si>
    <t>Need for Providing Economic Guarantees to the Public Administration (Yes / No)</t>
  </si>
  <si>
    <t>Necesidad de Prestación de Garantía a la Administración (Sí / No)</t>
  </si>
  <si>
    <t>Si</t>
  </si>
  <si>
    <t>Jah</t>
  </si>
  <si>
    <t>Sí</t>
  </si>
  <si>
    <t>Ei</t>
  </si>
  <si>
    <t>Remuneración Caixa (%)</t>
  </si>
  <si>
    <t>Sularahas makstav tasu (%)</t>
  </si>
  <si>
    <t>Cash Remuneration (%)</t>
  </si>
  <si>
    <t>Remuneración Caja (%)</t>
  </si>
  <si>
    <t>Financiamento do Proxecto</t>
  </si>
  <si>
    <t>Projekti Rahastamine</t>
  </si>
  <si>
    <t>Project Financing</t>
  </si>
  <si>
    <t>Financiación del Proyecto</t>
  </si>
  <si>
    <t>% Financiamento Alleo do investimento (Débeda)</t>
  </si>
  <si>
    <t>% Investeeringud Kolmandate Isikute Rahastamine (Laen)</t>
  </si>
  <si>
    <t>% Investment Third-Party Financing (Debt)</t>
  </si>
  <si>
    <t>% Financiación Ajena de la Inversión (Deuda)</t>
  </si>
  <si>
    <t>Prazo (Anos)</t>
  </si>
  <si>
    <t>Laenutähtaeg (Aastad)</t>
  </si>
  <si>
    <t>Loan Term (Years)</t>
  </si>
  <si>
    <t>Plazo (Años)</t>
  </si>
  <si>
    <t>Período de Carencia de Capital (Anos)</t>
  </si>
  <si>
    <t>Kapitali Tagasimaksmise Vajaduse Puudumine Ajavahemik (Aastad)</t>
  </si>
  <si>
    <t>Lack of Need for Capital Reimbursement Period (Years)</t>
  </si>
  <si>
    <t>Periodo de Carencia de Capital (Años)</t>
  </si>
  <si>
    <t>Periodo de Carencia de Xuros (Anos)</t>
  </si>
  <si>
    <t>Intressivaba Periood (Aastad)</t>
  </si>
  <si>
    <t>Lack of Need for Interest Payment Period (Years)</t>
  </si>
  <si>
    <t>Periodo de Carencia de Intereses (Años)</t>
  </si>
  <si>
    <t>Número de Meses a Considerar no Primeiro Ano</t>
  </si>
  <si>
    <t>Esimese Aasta Kuude Arv</t>
  </si>
  <si>
    <t>Number of Months for the First Year</t>
  </si>
  <si>
    <t>Número de Meses a Considerar en el Primer Año</t>
  </si>
  <si>
    <t>Euribor (%)</t>
  </si>
  <si>
    <t>Euribor (Euroopa Pankadevaheline Intressimäär) (%)</t>
  </si>
  <si>
    <t>Euribor (European Reference Interbancarian Interest Rate) (%)</t>
  </si>
  <si>
    <t>Marxe sobre Euribor (%)</t>
  </si>
  <si>
    <t>Marginaal üle Euribori (%)</t>
  </si>
  <si>
    <t>Margin Over Euribor (%)</t>
  </si>
  <si>
    <t>Margen sobre Euribor (%)</t>
  </si>
  <si>
    <t>Comisión de Apertura (%)</t>
  </si>
  <si>
    <t>Laenu Avamise Tasu (%)</t>
  </si>
  <si>
    <t>Loan Opening Fee (%)</t>
  </si>
  <si>
    <t>Desglose do Investimento: Instalacións e Gastos de Constitución</t>
  </si>
  <si>
    <t>Investeeringu Üksikasjad: Rajatised ja Asutamiskulud</t>
  </si>
  <si>
    <t>Investment Details: Facilities and Establishment Expenses</t>
  </si>
  <si>
    <t>Desglose de la Inversión: Instalaciones y Gastos de Constitución</t>
  </si>
  <si>
    <t>Ratio de Investimento s/ Potencia Instalada (€/kW)</t>
  </si>
  <si>
    <t>Investeeringute Määr Installeeritud Võimsuse Suhtes (€/kW)</t>
  </si>
  <si>
    <t>Investment Rate over Installed Power (€/kW)</t>
  </si>
  <si>
    <t>Ratio de Inversión s/ Potencia Instalada (€/kW)</t>
  </si>
  <si>
    <t>Necesidade de Novo CUPS, Propio (Si/Non)</t>
  </si>
  <si>
    <t>Vajadus uue USPC (Unified Supply Point Code) Järele, (jah/ei)</t>
  </si>
  <si>
    <t>Need for a New USPC (Unified Supply Point Code), Own one (Yes/No)</t>
  </si>
  <si>
    <t>Necesidad de Nuevo CUPS, Propio (Sí/No)</t>
  </si>
  <si>
    <t>Custo de Investimento Vinculado á Obtención do Novo CUPS (€)</t>
  </si>
  <si>
    <t>Uue USPC Hankimise Investeerimiskulud (€)</t>
  </si>
  <si>
    <t>Investment Cost of Getting a New USPC (€)</t>
  </si>
  <si>
    <t>Coste de Inversión Vinculado a la Obtención del Nuevo CUPS (€)</t>
  </si>
  <si>
    <t>Gastos de Constitución (Importe Fixo ou Proporcional ao Investimento)</t>
  </si>
  <si>
    <t>Põhiseadusega Seotud Kulud (Fikseeritud Summa või Proportsionaalne Investeeringuga)</t>
  </si>
  <si>
    <t>Establishment Costs (Fixed Amount or a Proportion Over Investment)</t>
  </si>
  <si>
    <t>Gastos de Constitución (Importe Fijo o Proporcional a la Inversión)</t>
  </si>
  <si>
    <t>Fixo</t>
  </si>
  <si>
    <t>Fikseeritud</t>
  </si>
  <si>
    <t>Fijo</t>
  </si>
  <si>
    <t>Proporcional</t>
  </si>
  <si>
    <t>Proportsionaalne</t>
  </si>
  <si>
    <t>Proportional</t>
  </si>
  <si>
    <t>Gastos de Constitución (Importe Proporcional, % s/Investimento Inicial, se Aplicable)</t>
  </si>
  <si>
    <t>Asutamiskulud (Proportsionaalne Summa, % Algsest Investeeringust, Kui see on Kohaldatav)</t>
  </si>
  <si>
    <t>Establishment Costs (Proportional Amount, % over Initial Investment, if Applicable)</t>
  </si>
  <si>
    <t>Gastos de Constitución (Importe Proporcional, % s/Inversión Inicial, si Aplicable)</t>
  </si>
  <si>
    <t>Gastos de Constitución (Importe Fixo, se Aplicable) (€)</t>
  </si>
  <si>
    <t>Asutamiskulud (Vajaduse Korral Fikseeritud Summa) (€)</t>
  </si>
  <si>
    <t>Establishment Costs (Fixed Amount, if Applicable) (€)</t>
  </si>
  <si>
    <t>Gastos de Constitución (Importe Fijo, si Aplicable) (€)</t>
  </si>
  <si>
    <t>GASTOS: Compras de Materiais e Servizos</t>
  </si>
  <si>
    <t>EXPENSES: Human Resources Expenses</t>
  </si>
  <si>
    <t>GASTOS: Compras de Materiales y Servicios</t>
  </si>
  <si>
    <t>Auto-explotación</t>
  </si>
  <si>
    <t>Enesejuhtimine</t>
  </si>
  <si>
    <t>Persoal Propio</t>
  </si>
  <si>
    <t>Oma Isiklik</t>
  </si>
  <si>
    <t>Own Staff</t>
  </si>
  <si>
    <t>Personal Propio</t>
  </si>
  <si>
    <t>Subcontratación</t>
  </si>
  <si>
    <t>Allhange</t>
  </si>
  <si>
    <t>Outsourcing</t>
  </si>
  <si>
    <t>Compras de Materiais e Servizos (Si/Non)</t>
  </si>
  <si>
    <t xml:space="preserve">Materials and Services Purchases (Yes/No) </t>
  </si>
  <si>
    <t xml:space="preserve">Compras de Materiales y Servicios (Sí/No) </t>
  </si>
  <si>
    <t>Realización das Labores de Xestión</t>
  </si>
  <si>
    <t>Management Tasks Performance Alternative</t>
  </si>
  <si>
    <t xml:space="preserve">Realización de las Labores de Gestión </t>
  </si>
  <si>
    <t>Unidades</t>
  </si>
  <si>
    <t>Units</t>
  </si>
  <si>
    <t>Valor Unitario</t>
  </si>
  <si>
    <t>Desglose do Investimento: Datos Relativos ao Inversor</t>
  </si>
  <si>
    <t>Investeeringu Üksikasjad: Elektriinverteriga Seotud Andmed</t>
  </si>
  <si>
    <t>Investment Details: Data Related to the Power Inverter</t>
  </si>
  <si>
    <t>Desglose de la Inversión: Datos Relativos al Inversor</t>
  </si>
  <si>
    <t>Investimento Inversor (% s/ Invest. Inicial en Instalacións)</t>
  </si>
  <si>
    <t>Investeeringud Inverterisse (% Üle Algse Investeeringu Rajatiste Kohta)</t>
  </si>
  <si>
    <t>Power Inverter Investment (% Over Initial Investment on Facilities)</t>
  </si>
  <si>
    <t>Inversión en el Inversor (% s/ Inversión Inicial en Instalaciones)</t>
  </si>
  <si>
    <t>Prazo Invest. Inversor (Vida Útil Estimada)</t>
  </si>
  <si>
    <t>Inverteri Investeerimisaeg (Hinnanguline Kasutusaeg, Aastat)</t>
  </si>
  <si>
    <t>Power Inverter Investment Time Period (Estimated on-use Lifetime, Years)</t>
  </si>
  <si>
    <t>Plazo de la Inversión en el Inversor (Vida Útil Estimada) (Años)</t>
  </si>
  <si>
    <t>Compras de Outros Aprovisionamentos</t>
  </si>
  <si>
    <t>Other Supplies Purchases</t>
  </si>
  <si>
    <t>Compras de Otros Aprovisionamientos</t>
  </si>
  <si>
    <t>Compras de Elementos e Conxuntos Incorporables</t>
  </si>
  <si>
    <t>Purchases of Incorporable Elements and Sets</t>
  </si>
  <si>
    <t>Compras de Elementos y Conjuntos Incorporables</t>
  </si>
  <si>
    <t>Subvención Pública</t>
  </si>
  <si>
    <t>Avalik Rahastamine</t>
  </si>
  <si>
    <t>Public Funding</t>
  </si>
  <si>
    <t>Subvención Pública (Si / Non)</t>
  </si>
  <si>
    <t>Avalik Rahastamine (Jah/Ei)</t>
  </si>
  <si>
    <t>Public Grant or Economic Support (Yes / No)</t>
  </si>
  <si>
    <t>Subvención Pública (Sí / No)</t>
  </si>
  <si>
    <t>Ratio de Subvención (Subv. -%- s/  -Invest. Inicial en Instalac.)</t>
  </si>
  <si>
    <t>Avaliku Rahastamise Määr (Toetuse % Algse Investeeringu/Rajatiste Kohta)</t>
  </si>
  <si>
    <t>Public Funding Rate (Grant -%- Over Initial Investment on Facilities)</t>
  </si>
  <si>
    <t>Ratio de Subvención (Subvención -%- s/  Inversión Inicial en Instalaciones)</t>
  </si>
  <si>
    <t>Composición da Base de Socios</t>
  </si>
  <si>
    <t>Partnerite Koosseis</t>
  </si>
  <si>
    <t>Partnership Composition</t>
  </si>
  <si>
    <t>Composición de la Base de Socios</t>
  </si>
  <si>
    <t>% S/Total de Socios</t>
  </si>
  <si>
    <t>% Partnerite Koguarvust</t>
  </si>
  <si>
    <t>% Over Total Partners</t>
  </si>
  <si>
    <t>Proporción de Socios Segmento Residencial</t>
  </si>
  <si>
    <t>Residentide Segmendi Partnerite Osakaal (%)</t>
  </si>
  <si>
    <t>Residencial Segment Partners Proportion</t>
  </si>
  <si>
    <t>Cotas de Socios e Outros Ingresos Mensuais</t>
  </si>
  <si>
    <t>Liikmemaksud ja Muud Igakuised Sissetulekud</t>
  </si>
  <si>
    <t>Membership Fees and Other Monthly Incomes</t>
  </si>
  <si>
    <t>Cuotas de Socios y Otros Ingresos Mensuales</t>
  </si>
  <si>
    <t>Cota Extraord. Primeiro Ano (€/Mes)</t>
  </si>
  <si>
    <t>Erakorraline Tasu esimese Aasta Eest (€/kuu)</t>
  </si>
  <si>
    <t>Extraord. Fee for the First Year (€/Month)</t>
  </si>
  <si>
    <t>Cuota Extraordinaria Primer Año (€/Mes)</t>
  </si>
  <si>
    <t>Outros Ingresos Mensuais (€/Mes)</t>
  </si>
  <si>
    <t>Muu Igakuine Sissetulekud (€/Kuus)</t>
  </si>
  <si>
    <t>Other Monthly Incomes (€/Month)</t>
  </si>
  <si>
    <t>Otros Ingresos Mensuales (€/Mes)</t>
  </si>
  <si>
    <t>Impacto Fiscal Trasladado a Cotas de Socios (Si/Non)</t>
  </si>
  <si>
    <t>Ettevõtte Maksustamise Mõju, Mis Kantakse üle Liikmemaksudesse (Jah/Ei)</t>
  </si>
  <si>
    <t>Corporate-Tax Impact transferred to the Membership Fees (Yes/No)</t>
  </si>
  <si>
    <t>Impacto Fiscal Trasladado a Cuotas de Socios (Sí/No)</t>
  </si>
  <si>
    <t>Compras de Combustibles</t>
  </si>
  <si>
    <t>Energy Supplies (Fuels) Purchases</t>
  </si>
  <si>
    <t>Compras de Repostos</t>
  </si>
  <si>
    <t>Replacement Materials Purchases</t>
  </si>
  <si>
    <t>Compras de Repuestos</t>
  </si>
  <si>
    <t>Compras de Materiais Diversos</t>
  </si>
  <si>
    <t>Erinevate Materjalide Ostmine</t>
  </si>
  <si>
    <t>Various Materials Purchases</t>
  </si>
  <si>
    <t>Compras de Materiales Diversos</t>
  </si>
  <si>
    <t>Compras de Material de Oficina</t>
  </si>
  <si>
    <t>Office Supplies Purchases</t>
  </si>
  <si>
    <t>Traballos realizados por Outras Empresas</t>
  </si>
  <si>
    <t>Works Done by Other Companies</t>
  </si>
  <si>
    <t>Trabajos realizados por Otras Empresas</t>
  </si>
  <si>
    <t>Hipóteses Relativas á Enerxía</t>
  </si>
  <si>
    <t>Energiaga seotud hüpoteesid</t>
  </si>
  <si>
    <t>Energy-Related Hypotheses</t>
  </si>
  <si>
    <t>Hipótesis Relativas a la Energía</t>
  </si>
  <si>
    <t>Prezo de Referencia de Mercado da Electricidade (€/MWh)</t>
  </si>
  <si>
    <t>Elektrienergia Turuhind (€/MWh)</t>
  </si>
  <si>
    <t>Reference Market Price of the Electricity (€/MWh)</t>
  </si>
  <si>
    <t>Precio de Referencia de Mercado de la Electricidad (€/MWh)</t>
  </si>
  <si>
    <t>GASTOS: Gastos de Persoal</t>
  </si>
  <si>
    <t>KULUD: Personalikulud</t>
  </si>
  <si>
    <t>GASTOS: Gastos de Personal</t>
  </si>
  <si>
    <t>Número de Empregados a Xornada Completa Equivalentes</t>
  </si>
  <si>
    <t>Number of Full-Time Equivalent Employees</t>
  </si>
  <si>
    <t>Número de Empleados a Jornada Completa Equivalentes</t>
  </si>
  <si>
    <t>Seguridade Social a cargo da Empresa</t>
  </si>
  <si>
    <t>Social Security Costs to be Assumed by the Entity (% over Gross Wages)</t>
  </si>
  <si>
    <t>Seguridad Social a cargo de la Empresa</t>
  </si>
  <si>
    <t>Outros gastos sociais</t>
  </si>
  <si>
    <t>Other Social Expenses (Other Personnel Costs)</t>
  </si>
  <si>
    <t>Otros Gastos Sociales</t>
  </si>
  <si>
    <t>Prezo Autoconsumo (% sobre Prezo Medio)</t>
  </si>
  <si>
    <t>Isetarbimishind (% Võrreldes Turuvõrdlushinnaga)</t>
  </si>
  <si>
    <t>Self-Consumption Price (% over Reference Market Price)</t>
  </si>
  <si>
    <t>Precio Autoconsumo (% sobre Precio Medio)</t>
  </si>
  <si>
    <t>Prezo Compensación (% sobre Prezo Medio)</t>
  </si>
  <si>
    <t>Hüvitishind (% Turuvõrdlushinnast)</t>
  </si>
  <si>
    <t>Compensation Price (% over Reference Market Price)</t>
  </si>
  <si>
    <t>Precio Compensación (% sobre Precio Medio)</t>
  </si>
  <si>
    <t>Prezo Venda (% sobre Prezo Medio)</t>
  </si>
  <si>
    <t>Müügihind (% üle Turuvõrdlushinna)</t>
  </si>
  <si>
    <t>Sale Price (% over Reference Market Price)</t>
  </si>
  <si>
    <t>Precio Venta (% sobre Precio Medio)</t>
  </si>
  <si>
    <t>Compensación ou Venda da Enerxía</t>
  </si>
  <si>
    <t>Energy Compensation or Energy Sale, Excedents Regime Applicable</t>
  </si>
  <si>
    <t>Compensación o Venta de la Energía</t>
  </si>
  <si>
    <t>Compensación</t>
  </si>
  <si>
    <t>Compensation</t>
  </si>
  <si>
    <t>Venda</t>
  </si>
  <si>
    <t>Müük</t>
  </si>
  <si>
    <t>Venta</t>
  </si>
  <si>
    <t>Porcentaxe Esóxena de Aforro sobre Consumo Total (%)</t>
  </si>
  <si>
    <t>Väline Säästu Osakaal Elektrienergia Kogutarbimisest (%)</t>
  </si>
  <si>
    <t>Exogenous Percentage of Savings over Total Electricity Consumption (%)</t>
  </si>
  <si>
    <t>Porcentaje Exógeno de Ahorro sobre Consumo Total (%)</t>
  </si>
  <si>
    <t>Batería Virtual (Si / Non)</t>
  </si>
  <si>
    <t>Virtuaalne Aku (Jah / Ei)</t>
  </si>
  <si>
    <t>Virtual Battery (Yes / No)</t>
  </si>
  <si>
    <t>Batería Virtual (Sí / No)</t>
  </si>
  <si>
    <t>Proporción da Enerxía Compensada que se Retribuiría Económicamente pola Comercializadora de NON existir Batería Virtual</t>
  </si>
  <si>
    <t>Kompenseeritava Energia Osakaal, Mille Energiamüügiettevõte Peab Majanduslikult Tagasi Andma/müüma, Kui Virtuaalset Akut EI ole.</t>
  </si>
  <si>
    <t>Proportion of Compensated Energy to be Economically Retributed by the Energy Selling Company if Virtual Battery does NOT exist.</t>
  </si>
  <si>
    <t>Proporción de la Energía Compensada que se Retribuiría Económicamente por la Comercializadora de NO existir Batería Virtual</t>
  </si>
  <si>
    <t>Proporción Autoconsumo s/ Enerxía Xerada (Mix Resid-Empr. Equilibrado)</t>
  </si>
  <si>
    <t>Omakasutuse Osakaal Toodetud Energia Suhtes (tasakaalustatud segu elu- ja ärihoonetest)</t>
  </si>
  <si>
    <t>Self-Consumption Over Produced Energy Proportion (Resid-Corp. Balanced Mix)</t>
  </si>
  <si>
    <t>Proporción Autoconsumo s/ Energía Generada (Mix Resid-Empr. Equilibrado)</t>
  </si>
  <si>
    <t>Proporción Autoconsumo s/ Enerxía Xerada (Mix Resid-Empr. Parcialmente Equilibrado)</t>
  </si>
  <si>
    <t>Omakasutuse Osakaal Toodetud Energia Suhtes (osaliselt tasakaalustatud elu- ja ärihoonete segu)</t>
  </si>
  <si>
    <t>Self-Consumption Over Produced Energy Proportion (Resid-Corp. Partially Balanced Mix)</t>
  </si>
  <si>
    <t>Proporción Autoconsumo s/ Energía Generada (Mix Resid-Empr. Parcialmente Equilibrado)</t>
  </si>
  <si>
    <t>Proporción Autoconsumo s/ Enerxía Xerada (Mix Resid-Empr. Desequilibrado)</t>
  </si>
  <si>
    <t>Omakasutuse Osakaal Toodetud Energia Suhtes (Elumajade Ja Ettevõtete Tasakaalustamata Segu)</t>
  </si>
  <si>
    <t>Self-Consumption Over Produced Energy Proportion (Resid-Corp. Unbalanced Mix)</t>
  </si>
  <si>
    <t>Proporción Autoconsumo s/ Energía Generada (Mix Resid-Empr. Desequilibrado)</t>
  </si>
  <si>
    <t>Retrib. Bruta Mensual</t>
  </si>
  <si>
    <t>Gross Monthly Wage (€)</t>
  </si>
  <si>
    <t>GASTOS: Gastos en Servizos Exteriores (Excl. Outros Servicios)</t>
  </si>
  <si>
    <t>EXPENSES: External Services Expenses (Excl. Other Services)</t>
  </si>
  <si>
    <t>GASTOS: Gastos en Servicios Exteriores (Excl. Otros Servicios)</t>
  </si>
  <si>
    <t>Arrendamentos e Cánones (Aluguer terreos)</t>
  </si>
  <si>
    <t>Rentals (Land and Others)</t>
  </si>
  <si>
    <t>Arrendamientos y Cánones (Alquiler de Terrenos)</t>
  </si>
  <si>
    <t>Reparacións e Mantemento das Instalacións</t>
  </si>
  <si>
    <t>Facilities Repairing and Maintenance</t>
  </si>
  <si>
    <t>Reparaciones y Mantenimiento de las Instalaciones</t>
  </si>
  <si>
    <t>Reparación das Instalacións</t>
  </si>
  <si>
    <t>Facilities Repairing Costs</t>
  </si>
  <si>
    <t>Reparación de las Instalaciones</t>
  </si>
  <si>
    <t>Mantemento das Instalacións</t>
  </si>
  <si>
    <t>Facilities Manintenance Costs</t>
  </si>
  <si>
    <t>Mantenimiento de las Instalaciones</t>
  </si>
  <si>
    <t>Servicios de Profesionais Indep. (Notarios, Avogados, Rexistradores, Economistas, Asesores, etc.)</t>
  </si>
  <si>
    <t>Profesional Services (Notaries, Lawyers, Registry Officers, Economists, Advisors, etc.)</t>
  </si>
  <si>
    <t>Servicios de Profesionales Indep. (Notarios, Abogados, Registradores, Economistas, Asesores, etc)</t>
  </si>
  <si>
    <t>Gastos de Notaría e Rexistro</t>
  </si>
  <si>
    <t>Notary and Registry Costs</t>
  </si>
  <si>
    <t>Gastos de Notaría y Registro</t>
  </si>
  <si>
    <t>Gastos de Asesoría Xurídica</t>
  </si>
  <si>
    <t>Legal Advisory Costs</t>
  </si>
  <si>
    <t>Gastos de Asesoría Jurídica</t>
  </si>
  <si>
    <t>Gastos de Asesoramento Económico-Financeiro</t>
  </si>
  <si>
    <t>Majandus- ja Finantsnõustamise Kulud</t>
  </si>
  <si>
    <t>Economic and Financial Advisory Costs</t>
  </si>
  <si>
    <t>Gastos de Asesoramiento Económico-Financiero</t>
  </si>
  <si>
    <t>Gastos de Asesoramento Técnico (Enxeñería)</t>
  </si>
  <si>
    <t>Technical Advisory (Engineering) Costs</t>
  </si>
  <si>
    <t>Gastos de Asesoramiento Técnico (Ingeniería)</t>
  </si>
  <si>
    <t>Fórmula Desindexación</t>
  </si>
  <si>
    <t>Deindekseerimise Valem</t>
  </si>
  <si>
    <t>Deindexing Formula</t>
  </si>
  <si>
    <t>% Anual</t>
  </si>
  <si>
    <t>Aastane Protsent (%)</t>
  </si>
  <si>
    <t>Annual Percentage (%)</t>
  </si>
  <si>
    <t>Taxa para a Actualización Salarios Sector (= IPC)</t>
  </si>
  <si>
    <t>Sektoripalkade Ajakohastamise Määr (= CPI), %.</t>
  </si>
  <si>
    <t>Sectorial Wages Updating Rate (= CPI)</t>
  </si>
  <si>
    <t>Tasa para la Actualización de los Salarios del Sector (= IPC)</t>
  </si>
  <si>
    <t>Taxa para a Actualización do Custo da Enerxía</t>
  </si>
  <si>
    <t>Energiakulude Ajakohastamise Määr (%)</t>
  </si>
  <si>
    <t>Energy Cost Updating Rate</t>
  </si>
  <si>
    <t>Tasa para la Actualización del Coste de la Energía</t>
  </si>
  <si>
    <t>Taxa para a Actualización dos Gastos de Explotación Xerais</t>
  </si>
  <si>
    <t>Üldiste Tegevuskulude Ajakohastamise Määr (%)</t>
  </si>
  <si>
    <t>General Operation Expenses Updating Rate</t>
  </si>
  <si>
    <t>Tasa para la Actualización de los Gastos de Explotación Generales</t>
  </si>
  <si>
    <t>Taxa para a Actualización de 'Outros Gastos de Explotación'</t>
  </si>
  <si>
    <t>Muud Tegevuskulude Ajakohastamise Määr (%)</t>
  </si>
  <si>
    <t>Other Operation Expenses Updating Rate</t>
  </si>
  <si>
    <t>Tasa para la Actualización de 'Otros Gastos de Explotación'</t>
  </si>
  <si>
    <t>Taxa de Variación do importe máximo das tarifas</t>
  </si>
  <si>
    <t>Maksimaalsete Määrade Kasvumäär (%)</t>
  </si>
  <si>
    <t xml:space="preserve">Growth Rate of the Maximum Amount for Rates </t>
  </si>
  <si>
    <t>Tasa de Variación del Importe Máximo de las Tarifas</t>
  </si>
  <si>
    <t>Transportes</t>
  </si>
  <si>
    <t>Transportation Expenses</t>
  </si>
  <si>
    <t>Primas de Seguros (% do Investimento Inicial, Anual)</t>
  </si>
  <si>
    <t>Insurance Premiums (% Over Initial Investment, Annual)</t>
  </si>
  <si>
    <t>Primas de Seguros (% de la Inversión Inicial, Anual)</t>
  </si>
  <si>
    <t>Servizos Bancarios</t>
  </si>
  <si>
    <t>Pangateenused</t>
  </si>
  <si>
    <t>Banking Services</t>
  </si>
  <si>
    <t>Servicios Bancarios</t>
  </si>
  <si>
    <t>Publicidade, Propaganda e RR.PP.</t>
  </si>
  <si>
    <t>Advertising, Propaganda e Public Relations</t>
  </si>
  <si>
    <t>Publicidad, Propaganda y RR.PP.</t>
  </si>
  <si>
    <t>Material e Actividades Publicitarias</t>
  </si>
  <si>
    <t>Advertising Materials and Activities</t>
  </si>
  <si>
    <t>Material y Actividades Publicitarias</t>
  </si>
  <si>
    <t>Actividades de Promoción</t>
  </si>
  <si>
    <t>Promotion Activities</t>
  </si>
  <si>
    <t>Relacións Públicas</t>
  </si>
  <si>
    <t>Avalikud Suhted</t>
  </si>
  <si>
    <t>Public Relations</t>
  </si>
  <si>
    <t>Relaciones Públicas</t>
  </si>
  <si>
    <t>Subministros</t>
  </si>
  <si>
    <t>Supplies</t>
  </si>
  <si>
    <t>Suministros</t>
  </si>
  <si>
    <t>Telefonía Fixa e/ou Móbil</t>
  </si>
  <si>
    <t>Landline and/or Mobile Telephony</t>
  </si>
  <si>
    <t>Telefonía Fija y/o Móvil</t>
  </si>
  <si>
    <t>Conexión a Internet</t>
  </si>
  <si>
    <t>Internet Connection</t>
  </si>
  <si>
    <t>Subministro de Electricidade (Termo de Potencia)</t>
  </si>
  <si>
    <t>Electricity Supply (Power Term)</t>
  </si>
  <si>
    <t>Suministro de Electricidad (Término de Potencia)</t>
  </si>
  <si>
    <t>Subministro de Electricidade (Termo de Enerxía e Outros)</t>
  </si>
  <si>
    <t>Electricity Supply (Energy Term and Other Concepts)</t>
  </si>
  <si>
    <t>Suministro de Electricidad (Término de Energía y Otros)</t>
  </si>
  <si>
    <t>Subministro de Auga Corrente</t>
  </si>
  <si>
    <t>Jooksev Veevarustus</t>
  </si>
  <si>
    <t>Running Water Supply</t>
  </si>
  <si>
    <t>Suministro de Agua Corriente</t>
  </si>
  <si>
    <t>Necesidade de Conexión a Internet, Propia (Si/Non)</t>
  </si>
  <si>
    <t>Own Internet Connection Required (Yes/No)</t>
  </si>
  <si>
    <t>Necesidad de Conexión a Internet, Propia (Sí/No)</t>
  </si>
  <si>
    <t>Outras Eventuais Percepcións dos Socios, procedentes da CE, Distintas da Enerxía Producida</t>
  </si>
  <si>
    <t>Muud Võimalikud Sissetulekud (perceptions) Partnerite Poolt, Energiaalgatuse Üksuse Poolt, mis Erinevad Toodetud Energiast</t>
  </si>
  <si>
    <t>Other eventual  perceptions by Partners, from the Energy Initiative Entity, Different from the Produced Energy</t>
  </si>
  <si>
    <t>Otras Eventuales Percepciones de los Socios, procedentes de la CE, Distintas de la Energía Producida</t>
  </si>
  <si>
    <t>Valor Anual Conxunto de Socios (€)</t>
  </si>
  <si>
    <t>Iga-aastane Summa Kõigi Partnerite Jaoks (€)</t>
  </si>
  <si>
    <t>Annual Amount for All Partners (€)</t>
  </si>
  <si>
    <t>Valor Anual Conjunto de Socios (€)</t>
  </si>
  <si>
    <t>Ingresos por Prestación Gratuíta de Outros Servizos pola Entidade Xestora da Iniciativa Comunitaria</t>
  </si>
  <si>
    <t>Tulu, mis Tuleneb Energiainitsiatiivi Haldava Üksuse Poolt Partneritele Osutatavatest Tasuta Teenustest.</t>
  </si>
  <si>
    <t>Income Deriving from Free-of-Charge Services provided to the Partners by the Energy Initiative Manager-Entity</t>
  </si>
  <si>
    <t>Ingresos por Prestación Gratuita de Otros Servicios por la Entidad Gestora de la Iniciativa Comunitaria</t>
  </si>
  <si>
    <t>Outros Ingresos Percibidos da Entidade Xestora da Iniciativa Comunitaria</t>
  </si>
  <si>
    <t>Muud Partnerite Poolt Tajutud Sissetulekud Energiaalgatuse Juht-üksuselt</t>
  </si>
  <si>
    <t>Other Incomes perceived by the Partners from the Energy Initiative Manager-Entity</t>
  </si>
  <si>
    <t>Otros Ingresos Percibidos de la Entidad Gestora de la Iniciativa Comunitaria</t>
  </si>
  <si>
    <t>Axuste de Exclusiva Aplicación para o Cálculo do Estado de Fluxos de Efectivo (EFE)</t>
  </si>
  <si>
    <t>Korrigeerimine Kohaldatakse aAinult Rahavoogude Aruande Arvutamisel.</t>
  </si>
  <si>
    <t>Adjustment Only Applicable  for the Cash Flow Statement Calculation</t>
  </si>
  <si>
    <t>Ajuste de Exclusiva Aplicación para el Cálculo del Estado de Flujos de Efectivo (EFE)</t>
  </si>
  <si>
    <t>Inclusión do Valor da Enerxía Producida como Ingreso que Xera Fluxo de Efectivo (Si/Non)</t>
  </si>
  <si>
    <t>Toodetud Energia Väärtuse Arvestamine Rahavooge Tekitava Tuluna (Jah/Ei)</t>
  </si>
  <si>
    <t>Inclusion of the Produced Energy Value as an Income which generates a cash flow (Yes/No)</t>
  </si>
  <si>
    <t>Inclusión del Valor de la Energía Producida como Ingreso que Genera Flujo de Efectivo (Sí/No)</t>
  </si>
  <si>
    <t>Determinación da Enerxía Xerada (KWh) por KWp Ao Ano</t>
  </si>
  <si>
    <t>Toodetud Energia (KWh aastas ja KWp Installeeritud Tippvõimsusest) Spetsifikatsioonimeetod</t>
  </si>
  <si>
    <t>Produced Energy (KWh per year and KWp of Peak Installed Power) Specification Method</t>
  </si>
  <si>
    <t>Determinación de la Energía Generada (KWh) por KWp al Año</t>
  </si>
  <si>
    <t>Determinación do Consumo Mensual (KWh) do Socio Promedio Tipo</t>
  </si>
  <si>
    <t>Partneri Keskmine Igakuine Elektritarbimine (KWh) Spetsifitseerimismeetod</t>
  </si>
  <si>
    <t>Average Partner Monthly Electricity Consumption (KWh) Specification Method</t>
  </si>
  <si>
    <t>Determinación del Consumo Mensual (KWh) del Socio Promedio Tipo</t>
  </si>
  <si>
    <t>Käsitsi</t>
  </si>
  <si>
    <t>Automática (Só Galicia)</t>
  </si>
  <si>
    <t>Automaatne (Ainult Galicia Jaoks)</t>
  </si>
  <si>
    <t>Automatic (Only for Galicia)</t>
  </si>
  <si>
    <t>Automática (Sólo Galicia)</t>
  </si>
  <si>
    <t>Enerxía Xerada (KWh) por KWp de Potencia Instalada ao Ano (Determinación Manual)</t>
  </si>
  <si>
    <t>Toodetud Energia (KWh aastas ja KWp Installeeritud Tippvõimsuse Kohta) (Manuaalne Spetsifikatsioon)</t>
  </si>
  <si>
    <t>Produced Energy (KWh per year and KWp of Peak Installed Power) (Manual Specification)</t>
  </si>
  <si>
    <t>Energía Generada (KWh) por KWp de Potencia Instalada al Año (Determinación Manual)</t>
  </si>
  <si>
    <t>Consumo Eléctrico Mensual (KWh) do Socio Promedio Tipo (Determinación Manual)</t>
  </si>
  <si>
    <t>Partneri Keskmine Igakuine Elektrienergia Tarbimine (KWh) (Käsitsi Määratud Väärtus)</t>
  </si>
  <si>
    <t>Average Partner Monthly Electricity Consumption (KWh) (Manual Specification)</t>
  </si>
  <si>
    <t>Consumo Eléctrico Mensual (KWh) del Socio Promedio Tipo (Determinación Manual)</t>
  </si>
  <si>
    <t>Desglose de Gastos en Asesoramento e Xestoría (Outros Servizos)</t>
  </si>
  <si>
    <t>Details concerning Advisory and Managerial Expenses (Other Services)</t>
  </si>
  <si>
    <t>Desglose de Gastos en Asesoramiento y Gestoría (Otros Servicios)</t>
  </si>
  <si>
    <t>Xestión da Entidade (Ata 25 Socios)</t>
  </si>
  <si>
    <t>Ettevõtte Juhtimine (Kuni 25 Partnerit)</t>
  </si>
  <si>
    <t>Entity Management (Up to 25 Partners)</t>
  </si>
  <si>
    <t>Gestión de la Entidad (Hasta 25 Socios)</t>
  </si>
  <si>
    <t>Monitoring Socios</t>
  </si>
  <si>
    <t>Energy Monitoring for Partners</t>
  </si>
  <si>
    <t>Asesoramento Contable, Fiscal e Outros</t>
  </si>
  <si>
    <t>Accounting Advisory, Tax Advisory and Other Advisory Services</t>
  </si>
  <si>
    <t>Asesoramiento Contable, Fiscal y Otros</t>
  </si>
  <si>
    <t>Imp. Mens. Por Socio (€)</t>
  </si>
  <si>
    <t>Monthly Amount per Partner (€)</t>
  </si>
  <si>
    <t>Importe Mensual (€)</t>
  </si>
  <si>
    <t>Total Monthly Amount (€)</t>
  </si>
  <si>
    <t>Aplicabilidade do Epígrafe de Gasto 'Gastos Xerais Non Incluídos en Epígrafes Previos' (Mín. Outros Servizos = 5% s/ Cifra de Negocios)</t>
  </si>
  <si>
    <t>Applicability of the Expense Concept 'General Operating Expenses Not Included in Previous Items' (Min. Other Services = 5% Entity Turnover)</t>
  </si>
  <si>
    <t>Aplicabilidad del Epígrafe de Gasto 'Gastos Generales No Incluidos en Epígrafes Previos' (Mín. Otros Servicios = 5% s/ Cifra de Negocios)</t>
  </si>
  <si>
    <t>Amortización Considerada Como Custo (Si/Non)</t>
  </si>
  <si>
    <t>Accounting 'Depreciation' Considered as a Cost (Yes/No)</t>
  </si>
  <si>
    <t>Amortización Considerada Como Coste (Sí/No)</t>
  </si>
  <si>
    <t>Garantías, Taxas Autonómicas, Municipais e Outras Obrigas Tributarias</t>
  </si>
  <si>
    <t>Economic Guarantees, Regional and Municipal Taxes, and Other Fiscal Duties</t>
  </si>
  <si>
    <t>Garantías, Tasas Autonómicas, Municipales y Otras Obligaciones Tributarias</t>
  </si>
  <si>
    <t>Garantía Económica para Tramitación da Solicitude de Acceso e Conexión á Rede (40€/KW)</t>
  </si>
  <si>
    <t>Economic Guarantee for the Grid Access and Connection Application (40€/KW)</t>
  </si>
  <si>
    <t>Garantía Económica para la Tramitación de la Solicitud de Acceso y Conexión a la Red (40€/KW)</t>
  </si>
  <si>
    <t>Taxa Autonómica por Inscrición en Rexistros Oficiais -Primeira Inscrición- (30.02.00 Anexo 1)</t>
  </si>
  <si>
    <t>Regional Tax for the First Registration -Official Electric Facilities Registry- (For Galicia, Tax Code 30.02.00 Annex 1)</t>
  </si>
  <si>
    <t>Tasa Autonómica por Inscripción en Registros Oficiales -Primera Inscripción- (En Galicia, Código 30.02.00 - Anexo 1)</t>
  </si>
  <si>
    <t>Taxa por Licencia Urbanística (Municipal)</t>
  </si>
  <si>
    <t>Municipal Tax for the Urbanistic License Issuance</t>
  </si>
  <si>
    <t>Tasa por Licencia Urbanística (Municipal)</t>
  </si>
  <si>
    <t>Imposto sobre Construccións, Instalacións e Obras</t>
  </si>
  <si>
    <t>Municipal Tax Over Constructions, Facilities and Works (ICIO, in Spain)</t>
  </si>
  <si>
    <t>Impuesto sobre Construcciones, Instalaciones y Obras</t>
  </si>
  <si>
    <t>Taxa por Obtención de Licencia de Actividade</t>
  </si>
  <si>
    <t>License of Activity Issuance Tax</t>
  </si>
  <si>
    <t>Tasa por Obtención de la Licencia de Actividad</t>
  </si>
  <si>
    <t>Outras Obrigas Tributarias</t>
  </si>
  <si>
    <t>Other Fiscal Duties</t>
  </si>
  <si>
    <t>Otras Obligaciones Tributarias</t>
  </si>
  <si>
    <t>Comprobacións Introdución Manual de Ratio de Produción e de Consumo do Socio Tipo cando a instalación NON se atopa en Galicia</t>
  </si>
  <si>
    <t>Tootmismäära Ja Keskmise Partneri Tarbimise Käsiraamatu Spetsifikatsioon: Kontrollib, Kui Rajatised EI ole Galicias</t>
  </si>
  <si>
    <t>Production Rate and Average-Partner Consumption Manual Specification: Checks when Facilities are NOT in Galicia</t>
  </si>
  <si>
    <t>Comprobaciones Introducción Manual de la Ratio de Producción y de Consumo del Socio Tipo cuando la instalación NO se encuentra en Galicia</t>
  </si>
  <si>
    <t>Prégase, NON CUBRIR:</t>
  </si>
  <si>
    <t>Palun Ärge Täitke:</t>
  </si>
  <si>
    <t>Please, do NOT fill:</t>
  </si>
  <si>
    <t>Se ruega, NO CUBRIR:</t>
  </si>
  <si>
    <t>Introdución Manual Enerxía Xerada por KWp Instalado</t>
  </si>
  <si>
    <t>Käsiraamatus Toodud Toodetud Energia Aastas ja KWp Installeeritud Tippvõimsuse Spetsifikatsioon</t>
  </si>
  <si>
    <t>Manual Specification of the Produced Energy per Year and KWp of Peak Installed Power</t>
  </si>
  <si>
    <t>Introducción Manual Energía Generada por KWp Instalado</t>
  </si>
  <si>
    <t>Introdución Manual do Consumo Mensual do Socio Tipo</t>
  </si>
  <si>
    <t>Keskmise Partneri Igakuise Elektritarbimise Käsitsi Määramine</t>
  </si>
  <si>
    <t>Manual Specification of the Average-Partner Monthly Electricity Consumption</t>
  </si>
  <si>
    <t>Introducción Manual del Consumo Mensual del Socio Tipo</t>
  </si>
  <si>
    <t>Verificación Correcta</t>
  </si>
  <si>
    <t>Õige Kontroll</t>
  </si>
  <si>
    <t>Right Check</t>
  </si>
  <si>
    <t>Verificación Non Aplicable</t>
  </si>
  <si>
    <t>Pole Kohaldatav Kontrollige</t>
  </si>
  <si>
    <t>Not Applicable Check</t>
  </si>
  <si>
    <t>Verificación No Aplicable</t>
  </si>
  <si>
    <t>Verificación Errónea</t>
  </si>
  <si>
    <t>Vale Kontroll</t>
  </si>
  <si>
    <t>Wrong Check</t>
  </si>
  <si>
    <t>Base Impoñible</t>
  </si>
  <si>
    <t>Maksubaas</t>
  </si>
  <si>
    <t>Tax Base</t>
  </si>
  <si>
    <t xml:space="preserve">Base Imponible </t>
  </si>
  <si>
    <t>Tipo de Gravame</t>
  </si>
  <si>
    <t>Tax Rate</t>
  </si>
  <si>
    <t>Tipo de Gravamen</t>
  </si>
  <si>
    <t>Cota Tributaria Íntegra</t>
  </si>
  <si>
    <t>Tax Amount Payable (Prev. Deducts.), €</t>
  </si>
  <si>
    <t>Cuota Tributaria Íntegra</t>
  </si>
  <si>
    <t>Deduc. Ou Bonif. sobre a Cota</t>
  </si>
  <si>
    <t>Tax Deductions or Tax Bonifications Over Initial Tax Amount Payable (€)</t>
  </si>
  <si>
    <t>Deducción o Bonificación sobre la Cuota</t>
  </si>
  <si>
    <t>Aplicabilidade</t>
  </si>
  <si>
    <t>Kohaldatavus (Jah/Ei)</t>
  </si>
  <si>
    <t>Applicability (Yes / No)</t>
  </si>
  <si>
    <t>Aplicabilidad (Sí / No)</t>
  </si>
  <si>
    <t>Outras Perdas en Xestión Corrente</t>
  </si>
  <si>
    <t>Other Losses Arising From Ordinary Corporate Operation Activities</t>
  </si>
  <si>
    <t>Otras Pérdidas en Gestión Corriente</t>
  </si>
  <si>
    <t>Concepto</t>
  </si>
  <si>
    <t>Kontseptsioon</t>
  </si>
  <si>
    <t>Concept</t>
  </si>
  <si>
    <t>Termo de Potencia (P1)</t>
  </si>
  <si>
    <t>Power Term (Peak Period, Period 1)</t>
  </si>
  <si>
    <t>Término de Potencia (P1)</t>
  </si>
  <si>
    <t>Termo de Potencia (P2)</t>
  </si>
  <si>
    <t>Power Term (Valley Period, Period 2)</t>
  </si>
  <si>
    <t>Término de Potencia (P2)</t>
  </si>
  <si>
    <t>Financiación Bono Social</t>
  </si>
  <si>
    <t>Social Bonus Financing</t>
  </si>
  <si>
    <t>Imposto sobre a Electricidade (Tipo Habitual)</t>
  </si>
  <si>
    <t>Electricity Special Tax (Ordinary Tax Rate) (%)</t>
  </si>
  <si>
    <t>Impuesto sobre la Electricidad (Tipo Habitual)</t>
  </si>
  <si>
    <t>Imposto sobre a Electricidade (Tipo Reducido Temporalmente)</t>
  </si>
  <si>
    <t>Electricity Special Tax (Temporary Reduced Tax Rate) (%)</t>
  </si>
  <si>
    <t>Impuesto sobre la Electricidad (Tipo Reducido Temporalmente)</t>
  </si>
  <si>
    <t>Aluguer do contador</t>
  </si>
  <si>
    <t>Electricity Meter Rental</t>
  </si>
  <si>
    <t>Alquiler del Contador</t>
  </si>
  <si>
    <t>IVE (Tipo Habitual)</t>
  </si>
  <si>
    <t>VAT (Ordinary Tax Rate)</t>
  </si>
  <si>
    <t>IVA (Tipo Habitual)</t>
  </si>
  <si>
    <t>IVE (Tipo Reducido Electricidade)</t>
  </si>
  <si>
    <t>IVA (Tipo Reducido Electricidad)</t>
  </si>
  <si>
    <t>IVE (Tipo Super-Reducido Electr.)</t>
  </si>
  <si>
    <t>VAT (Extra-Reduced Electricity Tax Rate)</t>
  </si>
  <si>
    <t>IVA (Tipo Super-Reducido Electricidad)</t>
  </si>
  <si>
    <t>Valor</t>
  </si>
  <si>
    <t>Value</t>
  </si>
  <si>
    <t>Unidade</t>
  </si>
  <si>
    <t>Üksus</t>
  </si>
  <si>
    <t>Unit</t>
  </si>
  <si>
    <t>Unidad</t>
  </si>
  <si>
    <t>€/KW e día</t>
  </si>
  <si>
    <t>€/KW and Day</t>
  </si>
  <si>
    <t>€/KW y día</t>
  </si>
  <si>
    <t>€/día</t>
  </si>
  <si>
    <t>€/Day</t>
  </si>
  <si>
    <t>% s/ Suma Conceptos Previos</t>
  </si>
  <si>
    <t>% Eelmiste Mõistete Summast</t>
  </si>
  <si>
    <t>% s/ Sum of Previous Concepts</t>
  </si>
  <si>
    <t>% s/ BI (Suma Conceptos Previos)</t>
  </si>
  <si>
    <t>% s/ Tax Base (Sum of Previous Concepts)</t>
  </si>
  <si>
    <t>Potencia Contratada por Cada Socio Individual</t>
  </si>
  <si>
    <t>Electricity Power Agreed by Each Individual Partner</t>
  </si>
  <si>
    <t>IVE: Tipo Impositivo Aplicable (H / R / S)</t>
  </si>
  <si>
    <t>VAT Tax Rate</t>
  </si>
  <si>
    <t>IVA: Tipo Impositivo Aplicable</t>
  </si>
  <si>
    <t>IVE: Tipo Impositivo Aplicable</t>
  </si>
  <si>
    <t>Käibemaks (Tavaline Maksumäär)</t>
  </si>
  <si>
    <t>Käibemaks (Vähendatud Elektrimaksumäär)</t>
  </si>
  <si>
    <t>Käibemaks (Eriliselt Alandatud Elektrimaksumäär)</t>
  </si>
  <si>
    <t>IVE (Tipo Super-Reducido Electricidade)</t>
  </si>
  <si>
    <t>KW</t>
  </si>
  <si>
    <t>Imposto s/Electricidade Reducido? (Si / Non)</t>
  </si>
  <si>
    <t>Elektrienergia Erimaksu Vähendatud Maksumäär? (Jah / Ei)</t>
  </si>
  <si>
    <t>Reduced Tax Rate for the Electricity Special Tax? (Yes / No)</t>
  </si>
  <si>
    <t>¿Impuesto s/Electricidad Reducido? (Sí / No)</t>
  </si>
  <si>
    <t>Hipóteses Participación Heteroxénea (Distrib. Aleatoria dos Consumos)</t>
  </si>
  <si>
    <t>Heterogeneous Participation Hypotheses (Partners' Consumptions Randomly Distributed)</t>
  </si>
  <si>
    <t>Hipótesis Participación Heterogénea (Distrib. Aleatoria de los Consumos)</t>
  </si>
  <si>
    <t>Consumo Mensual Máximo de Cada Socio Individual (KWh)</t>
  </si>
  <si>
    <t>Maksimaalne Igakuine Elektritarbimine Iga Üksiku Partneri Kohta (KWh)</t>
  </si>
  <si>
    <t>Maximum Monthly Electricity Consumption for Each Indiv. Partner (KWh)</t>
  </si>
  <si>
    <t>Consumo Mensual Mínimo de Cada Socio Individual (KWh)</t>
  </si>
  <si>
    <t>Minimaalne Igakuine Elektritarbimine Iga Üksiku Partneri Kohta (KWh)</t>
  </si>
  <si>
    <t>Minimum Monthly Electricity Consumption for Each Indiv. Partner (KWh)</t>
  </si>
  <si>
    <t>Provincia (Galicia)</t>
  </si>
  <si>
    <t>Garantía Admin. (Si/Non)</t>
  </si>
  <si>
    <t>Necesidade Novo CUPS</t>
  </si>
  <si>
    <t>Custo CUPS Fixo/Proporcional</t>
  </si>
  <si>
    <t>Compras de Materiais (Si/Non)</t>
  </si>
  <si>
    <t>Realización Labores de Xestión</t>
  </si>
  <si>
    <t>Subvención Pública (Si/Non)</t>
  </si>
  <si>
    <t>Impacto Fiscal Trasladado ás Cotas de Socios (Si/Non)</t>
  </si>
  <si>
    <t>Batería Virtual (Si/Non)</t>
  </si>
  <si>
    <t>Inclusión Valor da Enerxía no Estado de Fluxos de Efectivo (Si/Non)</t>
  </si>
  <si>
    <t>Método de Especificación da Enerxía Xerada e do Consumo Enerxético Mensual do Socio Tipo</t>
  </si>
  <si>
    <t>Resultados Comprobacións Introdución Manual Enerxía Producida e Consumo Socio Tipo</t>
  </si>
  <si>
    <t>Respuestas Pregunta</t>
  </si>
  <si>
    <t>Opciones mostradas</t>
  </si>
  <si>
    <t>Idiomas</t>
  </si>
  <si>
    <t>Täistööajale Taandatud Töötajate Arv</t>
  </si>
  <si>
    <t>Üksuse Poolt Ülevõetavad Sotsiaalkindlustuskulud (% Brutopalgast)</t>
  </si>
  <si>
    <t>Muud Sotsiaalkulud (Muud Personalikulud)</t>
  </si>
  <si>
    <t>Energiakompensatsioon või Energiamüük, Kohaldatav Ülemäärane Režiim</t>
  </si>
  <si>
    <t>Hüvitis</t>
  </si>
  <si>
    <t>EXPENSES: Materials and Services Purchases</t>
  </si>
  <si>
    <t>KULUD: Materjalide ja Teenuste Ostud</t>
  </si>
  <si>
    <t>Üksused</t>
  </si>
  <si>
    <t>Ühiku Väärtus (€)</t>
  </si>
  <si>
    <t>Unit Value (€)</t>
  </si>
  <si>
    <t>Valor Unitario (€)</t>
  </si>
  <si>
    <t>Muud Tarvikute Ostud</t>
  </si>
  <si>
    <t>Sisestatavate Elementide ja Komplektide Ostud</t>
  </si>
  <si>
    <t>Energiatarned (Kütused) Ostud</t>
  </si>
  <si>
    <t>Asendusmaterjalide Ostud</t>
  </si>
  <si>
    <t>Kontoritarvete Ostud</t>
  </si>
  <si>
    <t>Teiste Ettevõtete Tehtud Tööd</t>
  </si>
  <si>
    <t>Materjalide Ja Teenuste Ostud (Jah/Ei)</t>
  </si>
  <si>
    <t>Kuu Brutopalk (€)</t>
  </si>
  <si>
    <t>Retrib. Bruta Mensual (€)</t>
  </si>
  <si>
    <t>Juhtimisülesanded Tulemuslikkuse Alternatiiv</t>
  </si>
  <si>
    <t>KULUD: Väliskulud (V.A. Muud Teenused)</t>
  </si>
  <si>
    <t>Üürilepingud (Maa ja Muud)</t>
  </si>
  <si>
    <t>Rajatiste Remont ja Hooldus</t>
  </si>
  <si>
    <t>Rajatiste Remondikulud</t>
  </si>
  <si>
    <t>Rajatiste Hoolduskulud</t>
  </si>
  <si>
    <t>Professionaalsed Teenused (Notarid, Juristid, Registripidajad, Majandusteadlased, Nõustajad jne.)</t>
  </si>
  <si>
    <t>Notari ja Registri kulud</t>
  </si>
  <si>
    <t>Väärtus</t>
  </si>
  <si>
    <t>Õigusnõustamise Kulud</t>
  </si>
  <si>
    <t>Võimsusperiood (Tippperiood, Periood 1)</t>
  </si>
  <si>
    <t>Võimsusperiood (Mõõna Periood, Periood 2)</t>
  </si>
  <si>
    <t>Sotsiaalboonuse Rahastamine (Social Bonus Financing)</t>
  </si>
  <si>
    <t>Elektrienergia Erimaks (Tavaline Maksumäär) (%)</t>
  </si>
  <si>
    <t>Elektrienergia Erimaks (Ajutine Vähendatud Maksumäär) (%)</t>
  </si>
  <si>
    <t>Elektrimõõtja Rentimine</t>
  </si>
  <si>
    <t>Tehnilise Nõustamise (Inseneri) Kulud</t>
  </si>
  <si>
    <t>Käibemaks (Vähendatud Elektrimaksu Määr)</t>
  </si>
  <si>
    <t>Käibemaks (Ekstra Vähendatud Elektrienergia Maksumäär)</t>
  </si>
  <si>
    <t>€/KW ja Päev</t>
  </si>
  <si>
    <t>€/Päev</t>
  </si>
  <si>
    <t>Transpordikulud</t>
  </si>
  <si>
    <t>Iga Üksiku Partneri Poolt Tokkulepitud Elektrienergia</t>
  </si>
  <si>
    <t>Kindlustusmaksed (% üle Algse Investeeringu, Aastas)</t>
  </si>
  <si>
    <t>Käibemaksumäär</t>
  </si>
  <si>
    <t>Heterogeense Osaluse Hüpotees (Partnerite Tarbimine Juhuslikult Jaotatud)</t>
  </si>
  <si>
    <t>Reklaam, Propaganda ja Avalikud Suhted</t>
  </si>
  <si>
    <t>Reklaammaterjalid ja Tegevused</t>
  </si>
  <si>
    <t>Edendustegevused</t>
  </si>
  <si>
    <t>Tarvikud</t>
  </si>
  <si>
    <t>Püsiliin ja/või Mobiiltelefoniühendus</t>
  </si>
  <si>
    <t>Interneti-ühendus</t>
  </si>
  <si>
    <t>Elektrivarustus (Elektritermin)</t>
  </si>
  <si>
    <t>Elektrivarustus (Energiamõiste ja Muud Mõisted)</t>
  </si>
  <si>
    <t>Vajalik Oma Internetiühendus (Jah/Ei)</t>
  </si>
  <si>
    <t>Nõustamis- ja Juhtimiskulude (Muud Teenused) Üksikasjad</t>
  </si>
  <si>
    <t>Igakuine Summa Partneri Kohta (€)</t>
  </si>
  <si>
    <t>Igakuine Kogusumma (€)</t>
  </si>
  <si>
    <t>Energiaseire Partneritele</t>
  </si>
  <si>
    <t>Raamatupidamisnõustamine, Maksunõustamine ja Muud Nõustamisteenused</t>
  </si>
  <si>
    <t>Kulude Kontseptsiooni "Üldised Tegevuskulud, mis ei ole Tõlmatud Eelmiste Punktidega" Kohaldatavus (Min. Muud Teenused = 5% Üksuse Käibest)</t>
  </si>
  <si>
    <t>Arvestuslik "Amortisatsioon" kui Kulu (Jah/Ei)</t>
  </si>
  <si>
    <t>Majandustagatised, Piirkondlikud ja Munitsipaalmaksud Ning Muud Maksukohustused</t>
  </si>
  <si>
    <t>Maksumäär</t>
  </si>
  <si>
    <t>Maksmisele Kuuluv Maksusumma (Enne Mahaarvamisi), €.</t>
  </si>
  <si>
    <t>Maksuvähendused või Maksusoodustused üle Algse Maksusumma (€)</t>
  </si>
  <si>
    <t>Majanduslik Garantii Võrgule Juurdepääsu ja Liitumise Taotlusele (40 €/KW)</t>
  </si>
  <si>
    <t>Piirkondlik Esmaregistreerimismaks - Ametlik Elektriseadmete Register - (Galicia puhul, Maksukood 30.02.00, 1. Lisa)</t>
  </si>
  <si>
    <t>Munitsipaalmaks Linnaehituslitsentside Väljastamise Eest</t>
  </si>
  <si>
    <t>Ehitiste, Rajatiste ja Ehitustööde Kohalik Maks (ICIO, Hispaanias)</t>
  </si>
  <si>
    <t>Tegevusloa Väljastamise Maks</t>
  </si>
  <si>
    <t>Muud Maksualased Kohustused</t>
  </si>
  <si>
    <t>Muu Kahjum, mis Tuleneb Ettevõtte Tavapärasest Tegevusest</t>
  </si>
  <si>
    <t>% s/ Maksubaas (Eelmiste Mõistete Summa)</t>
  </si>
  <si>
    <t>Hipóteses</t>
  </si>
  <si>
    <t>Plan de Viabilidade Económico-Financeira para unha Iniciativa Enerxética Comunitaria con Autoconsumo Colectivo</t>
  </si>
  <si>
    <t>Introdución Manual do Consumo Mensual (KWh) do Socio Tipo</t>
  </si>
  <si>
    <t>Introdución Manual Enerxía Xerada por KWp</t>
  </si>
  <si>
    <t>Investimento Total Preciso (Inicial + Renovacións)</t>
  </si>
  <si>
    <r>
      <rPr>
        <b/>
        <u/>
        <sz val="10"/>
        <color rgb="FFFFFFFF"/>
        <rFont val="Calibri"/>
        <family val="2"/>
        <scheme val="minor"/>
      </rPr>
      <t>Comprobacións</t>
    </r>
    <r>
      <rPr>
        <b/>
        <sz val="10"/>
        <color indexed="9"/>
        <rFont val="Calibri"/>
        <family val="2"/>
        <scheme val="minor"/>
      </rPr>
      <t xml:space="preserve"> Introdución Manual de Ratio de Produción e deConsumo do Socio Tipo cando a instalación NON se atopa en Galicia</t>
    </r>
  </si>
  <si>
    <t>Importe a Investir en Renovacións na Vida do Proxecto</t>
  </si>
  <si>
    <t>Número de Renovacións Previstas</t>
  </si>
  <si>
    <t>Importe a Investir en cada Renovación</t>
  </si>
  <si>
    <t>Investimento Adicional en Renovación do Inversor (Anos 10, e 20)</t>
  </si>
  <si>
    <r>
      <t xml:space="preserve">Consumo Eléctrico </t>
    </r>
    <r>
      <rPr>
        <b/>
        <u/>
        <sz val="10"/>
        <color rgb="FFFFFFFF"/>
        <rFont val="Calibri"/>
        <family val="2"/>
      </rPr>
      <t xml:space="preserve">Mensual </t>
    </r>
    <r>
      <rPr>
        <b/>
        <sz val="10"/>
        <color rgb="FFFFFFFF"/>
        <rFont val="Calibri"/>
        <family val="2"/>
      </rPr>
      <t>(KWh) do Socio Promedio Tipo (Determinación Manual)</t>
    </r>
  </si>
  <si>
    <t>Cota de Amortización Anual Total (Importe)</t>
  </si>
  <si>
    <t>Cota de Amortización Anual Gastos de Constitución</t>
  </si>
  <si>
    <t>(KWh Xerados)</t>
  </si>
  <si>
    <t>Enerxía Xerada (kWh) por KWp ao Ano (Incl. Perdas) en cada Provincia Galega</t>
  </si>
  <si>
    <t>Cota de Amortización Anual Resto de Instalacións (Amort. Lineal)</t>
  </si>
  <si>
    <t>Cota de Amortización Anual Inversor (Amort. Lineal)</t>
  </si>
  <si>
    <t>Potencia Instalada Prevista (KW)</t>
  </si>
  <si>
    <t>Prazo Invest. Resto de Instalacións (Vida Útil Estimada)</t>
  </si>
  <si>
    <t>Potencia Instalable por  m2 (KW/m2)</t>
  </si>
  <si>
    <t>Investimento Resto de Instalacións (Importe en €)</t>
  </si>
  <si>
    <t>Investimento Resto de Instalacións (% s/ Invest. Inicial en Inst.)</t>
  </si>
  <si>
    <t>Cálculo da Potencia Instalada Prevista</t>
  </si>
  <si>
    <t>Investimento Inversor (Importe en €)</t>
  </si>
  <si>
    <t>Gastos de Constitución (A distribuír ao longo da Vida do Investimento)</t>
  </si>
  <si>
    <t>Desglose do Investimento</t>
  </si>
  <si>
    <t>Gastos de Constitución (Importe Fixo ou Proporcional ao Invest.)</t>
  </si>
  <si>
    <t>Hipóteses Autoconsumo e Compensación ou Venda</t>
  </si>
  <si>
    <t>Custo de Investimento Vinculado á Obtención do Novo CUPs</t>
  </si>
  <si>
    <t xml:space="preserve">Compras de Materiais e Servizos (Si/Non) </t>
  </si>
  <si>
    <t xml:space="preserve">Subvenc. Capital Transferida ao Resultado de cada Ano </t>
  </si>
  <si>
    <t>Lineal</t>
  </si>
  <si>
    <t>Criterio de Imputación a Resultados da Subvención</t>
  </si>
  <si>
    <t>Importe da Subvención</t>
  </si>
  <si>
    <t>Ratio de Subvención (Subv. -%- s/  -Invest. Inicial en Instalac.-)</t>
  </si>
  <si>
    <t>Necesidade de Novo CUPs, Propio (Si/Non)</t>
  </si>
  <si>
    <t xml:space="preserve">Realización das Labores de Xestión </t>
  </si>
  <si>
    <t>Total Taxas Municipais e Outras Obrigas Tributarias</t>
  </si>
  <si>
    <t>Número Máximo de Socios</t>
  </si>
  <si>
    <t>Consumo Estimado Socio Promedio Tipo (KWh/Ano)</t>
  </si>
  <si>
    <t>Cota Líquida</t>
  </si>
  <si>
    <t xml:space="preserve">Tipo de Gravame </t>
  </si>
  <si>
    <t xml:space="preserve">Base Impoñible </t>
  </si>
  <si>
    <t>Taxas Municipais e Outras Obrigas Tributarias</t>
  </si>
  <si>
    <t>Consumo Máximo Conxunto Socios (KWh/Ano)</t>
  </si>
  <si>
    <t>Enerxía Disp. Total (Prod. Estimada, KWh/Ano)</t>
  </si>
  <si>
    <t xml:space="preserve">Taxa de desconto </t>
  </si>
  <si>
    <t>Cálculo do Número Máximo de Socios</t>
  </si>
  <si>
    <t>Rendibilidade media 6 meses obrigas 10 anos</t>
  </si>
  <si>
    <t>Actualización de tarifas (15-25)</t>
  </si>
  <si>
    <t>Proporción de Autoconsumo Aplicable</t>
  </si>
  <si>
    <t>Variación do importe máximo das tarifas</t>
  </si>
  <si>
    <t>Ref. 2%</t>
  </si>
  <si>
    <t>Emprazamento das Instalacións (Só en Galicia)</t>
  </si>
  <si>
    <t>Actualización de tarifas (0-2)</t>
  </si>
  <si>
    <t>% outros gastos s/total gastos de explotación</t>
  </si>
  <si>
    <t>% gasto en luz s/total gastos de expl.</t>
  </si>
  <si>
    <t>Proporción Empresas s/ Total Socios</t>
  </si>
  <si>
    <t>% gasto persoal s/ total gastos de explotación</t>
  </si>
  <si>
    <t>Proporción Residencial s/ Total Socios</t>
  </si>
  <si>
    <t>Actualización outros gastos explotación</t>
  </si>
  <si>
    <t>Número Total de Socios</t>
  </si>
  <si>
    <t>Cota Mensual (€/Mes)</t>
  </si>
  <si>
    <t>Actualización custe da enerxía</t>
  </si>
  <si>
    <t>Número de Socios Segmento Empresas</t>
  </si>
  <si>
    <t>Actualización salarios sector = IPC</t>
  </si>
  <si>
    <t>Número de Socios Segmento Residencial</t>
  </si>
  <si>
    <t>Número de Socios</t>
  </si>
  <si>
    <t>Actualización salarios traballadores públicos</t>
  </si>
  <si>
    <t>Cotas de Socios</t>
  </si>
  <si>
    <t>Fondos propios</t>
  </si>
  <si>
    <t>Produción Estimada (MWh.)</t>
  </si>
  <si>
    <t>% Fondos Propios</t>
  </si>
  <si>
    <t>Número de Horas Equivalentes (NON Aplicable)</t>
  </si>
  <si>
    <t>Comisión de apertura</t>
  </si>
  <si>
    <t>Custe débeda</t>
  </si>
  <si>
    <t>Variación anual do importe máximo das tarifas</t>
  </si>
  <si>
    <t>Marxe</t>
  </si>
  <si>
    <t>Actualización de gastos de explotación</t>
  </si>
  <si>
    <t>Proporción da Enerxía Compensada que se Retribúe Económicamente pola Comercializadora (%)</t>
  </si>
  <si>
    <t>Enerxía Excedentaria Vendida (% S/ MWh Produc.)</t>
  </si>
  <si>
    <t>Enerxía Acollida a Compensac. (% S/ MWh Produc.)</t>
  </si>
  <si>
    <t>Enerxía Autoconsumida (% Sobre MWh Producidos)</t>
  </si>
  <si>
    <t>Euribor</t>
  </si>
  <si>
    <r>
      <t xml:space="preserve">Desembolso inicial (Incl. Inicial E Gastos Const.; </t>
    </r>
    <r>
      <rPr>
        <b/>
        <sz val="10"/>
        <rFont val="Calibri"/>
        <family val="2"/>
        <scheme val="minor"/>
      </rPr>
      <t>Excl. Renovac.</t>
    </r>
    <r>
      <rPr>
        <sz val="10"/>
        <rFont val="Calibri"/>
        <family val="2"/>
        <scheme val="minor"/>
      </rPr>
      <t>)</t>
    </r>
  </si>
  <si>
    <t>Investimento Preciso en Instalacións (Inicial e Renovacións)</t>
  </si>
  <si>
    <t>Ratio de Investimento (€/kW)</t>
  </si>
  <si>
    <t>Primeiro ano (meses)</t>
  </si>
  <si>
    <t>Tipo impositivo IS</t>
  </si>
  <si>
    <t>Periodo de carencia xuros</t>
  </si>
  <si>
    <t>Remuneración caixa</t>
  </si>
  <si>
    <t>Periodo de carencia capital (anos)</t>
  </si>
  <si>
    <t>Gastos de Constitución (Importe Fixo, se Aplicable)</t>
  </si>
  <si>
    <t>Prazo (anos)</t>
  </si>
  <si>
    <t>IVE - Período de liquidación (meses)</t>
  </si>
  <si>
    <t>Importe do préstamo</t>
  </si>
  <si>
    <t>IVE - Venda de mercaderías, gastos e invest.</t>
  </si>
  <si>
    <t>Ref. 50,00%</t>
  </si>
  <si>
    <t>% Financiamento do investimento</t>
  </si>
  <si>
    <t>Prazo da instalación (anos)</t>
  </si>
  <si>
    <t>Hipótesis Xerais</t>
  </si>
  <si>
    <t>Ano inicio actividade:</t>
  </si>
  <si>
    <r>
      <rPr>
        <b/>
        <u/>
        <sz val="9.4"/>
        <color rgb="FF00B050"/>
        <rFont val="Calibri"/>
        <family val="2"/>
        <scheme val="minor"/>
      </rPr>
      <t>Nota Importante:</t>
    </r>
    <r>
      <rPr>
        <b/>
        <sz val="9.4"/>
        <rFont val="Calibri"/>
        <family val="2"/>
        <scheme val="minor"/>
      </rPr>
      <t xml:space="preserve"> As Celas con cor de fonte (letra) </t>
    </r>
    <r>
      <rPr>
        <b/>
        <sz val="9.4"/>
        <color rgb="FF00B050"/>
        <rFont val="Calibri"/>
        <family val="2"/>
        <scheme val="minor"/>
      </rPr>
      <t>verde</t>
    </r>
    <r>
      <rPr>
        <b/>
        <sz val="9.4"/>
        <rFont val="Calibri"/>
        <family val="2"/>
        <scheme val="minor"/>
      </rPr>
      <t xml:space="preserve"> toman directamente os datos do Libro Insumos_Plan_de_Negocio.xlsx e non deben modificarse.</t>
    </r>
  </si>
  <si>
    <t>HIPÓTESES XERAIS</t>
  </si>
  <si>
    <t>Actualización de tarifas 1-25</t>
  </si>
  <si>
    <t>Actualización de custes</t>
  </si>
  <si>
    <t>IPC anual estimado</t>
  </si>
  <si>
    <t>MEDIA 2026-2049</t>
  </si>
  <si>
    <t>2030-2049</t>
  </si>
  <si>
    <t>2025-2049</t>
  </si>
  <si>
    <t>Hipótese de incremento de ingresos</t>
  </si>
  <si>
    <t>Capital + xuros carencia</t>
  </si>
  <si>
    <t>Amortizac.</t>
  </si>
  <si>
    <t>Interese Anual</t>
  </si>
  <si>
    <t>Cuota 
Anual</t>
  </si>
  <si>
    <t>Nº 
Cuotas</t>
  </si>
  <si>
    <t>TOTAL</t>
  </si>
  <si>
    <t>Pagos</t>
  </si>
  <si>
    <t>Interés anual</t>
  </si>
  <si>
    <t>Carencia</t>
  </si>
  <si>
    <t>Plazo anos</t>
  </si>
  <si>
    <t>Comisión apertura</t>
  </si>
  <si>
    <t>Financiamento da operación con préstamo</t>
  </si>
  <si>
    <t>Estados financeiros</t>
  </si>
  <si>
    <t>Cota Mínima Axustada por Impacto Fiscal a satisfacer polo Socio Tipo (Consumo = 294,41 KWh ao Mes)</t>
  </si>
  <si>
    <t>Anual</t>
  </si>
  <si>
    <t>Mensual</t>
  </si>
  <si>
    <t>Cotas de Socios Axustadas por Impacto Fiscal no Ano Inicial</t>
  </si>
  <si>
    <t>Cota Socio Mensual Axustada</t>
  </si>
  <si>
    <t>Cota Socio Anual Axustada</t>
  </si>
  <si>
    <t>2. A parte de cotas destinada a cubrir o sobre-custo que se imputa, á marxe da conta de resultados 'contable', en cada ano, para financiar o desembolso correspondente á renovación do inversor transcorridos 15 anos.</t>
  </si>
  <si>
    <t>Cota de Socio Axustada por Efecto Fiscal</t>
  </si>
  <si>
    <t>1. O valor económico da enerxía producida, na súa totalidade</t>
  </si>
  <si>
    <t>Sobrecusto Imposto por KWh. Atribuído</t>
  </si>
  <si>
    <t>Considerado o anterior, os ingresos que si se traducen nun maior resultado por non quedar absorbidos polos custos contablemente imputables á conta de resultados serán, en cada ano, os dous seguintes:</t>
  </si>
  <si>
    <t>Sobrecusto Imposto (Mensual por Socio)</t>
  </si>
  <si>
    <t>Esta parte das cotas de socios, así como a subvención, queda compensada cos custos monetarios incluídos na conta de resultados e, polo tanto, trátase de ingresos que NON tributarán no Imposto a que estea suxeita a Entidade, xa que non se traducirán nun maior resultado</t>
  </si>
  <si>
    <t>Sobrecusto Imposto (Anual por Socio)</t>
  </si>
  <si>
    <t>Existe unha parte das cotas de socios que se destina integramente a cubrir a diferencia existente en cada ano entre a suma dos custos monetarios imputados na conta de resultados (gastos do resultado contable) e a imputación da subvención.</t>
  </si>
  <si>
    <t>Cota Imposto</t>
  </si>
  <si>
    <t>Cálculo da Incidencia do Impacto Fiscal sobre o Valor das Cotas de Socio</t>
  </si>
  <si>
    <t>Base</t>
  </si>
  <si>
    <t>Cota Mínima a satisfacer polo Socio Tipo (Consumo = 294,41 KWh ao Mes)</t>
  </si>
  <si>
    <t>Cotas de Socios no Ano Inicial</t>
  </si>
  <si>
    <t>Cota Mensual Aplicable por KWh Atribuído (Imp. Mínimo para Cubrir Custos)</t>
  </si>
  <si>
    <t>Enerxía Xerada no Ano (KWh) -Efectivamente Atribuída aos Socios-</t>
  </si>
  <si>
    <t>Cota Mensual Promedio a satisfacer por Socio</t>
  </si>
  <si>
    <t>Suma de Cotas Anuais Precisas (Por Cada Socio)</t>
  </si>
  <si>
    <t>Número  de Socios (Hipótese Xeral)</t>
  </si>
  <si>
    <t>(=) Suma de Custos Anuais a Soportar por Socios</t>
  </si>
  <si>
    <t xml:space="preserve"> (-) Importe da Subvención Imputable ao Ano Dispoñible para Financiar Gasto</t>
  </si>
  <si>
    <t xml:space="preserve"> (+) Suma de Custos Anuais</t>
  </si>
  <si>
    <t>Determinación da Cota Promedio Necesaria Para a Cobertura de Custos:</t>
  </si>
  <si>
    <t>Superávit (+) ou Déficit (-)</t>
  </si>
  <si>
    <t>Suma de Custos</t>
  </si>
  <si>
    <t>Total Ingresos Monetarios Computables</t>
  </si>
  <si>
    <t>Suma de Outros Ingresos Monetarios (Imput. Subvención) Non Consumida en Invest.</t>
  </si>
  <si>
    <t>Suma de Ingresos Monetarios (Cotas)</t>
  </si>
  <si>
    <t>Resumo da Conta de Resultados:</t>
  </si>
  <si>
    <t>Resultado neto</t>
  </si>
  <si>
    <t>crédito fiscal acumulado</t>
  </si>
  <si>
    <t>crédito fiscal</t>
  </si>
  <si>
    <t>Imposto de sociedades</t>
  </si>
  <si>
    <t>Resultado antes de impostos</t>
  </si>
  <si>
    <t>Gastos financeiros</t>
  </si>
  <si>
    <t>Ingresos financeiros</t>
  </si>
  <si>
    <t>EBIT (Beneficio Antes de Intereses e Impostos)</t>
  </si>
  <si>
    <t>Amortización investimento</t>
  </si>
  <si>
    <t>EBITDA (Beneficio Antes de Interes, Impostos, Depreciacións e Amotizacións)</t>
  </si>
  <si>
    <t>Total gastos de explotación</t>
  </si>
  <si>
    <t>Outros Tributos (Distintos do IS ou IVE)</t>
  </si>
  <si>
    <t>Tributos</t>
  </si>
  <si>
    <t>Gastos comunidade no edificio e outros excepcionais</t>
  </si>
  <si>
    <t>Gastos en Servizos Exteriores</t>
  </si>
  <si>
    <t>Outros Servizos</t>
  </si>
  <si>
    <t>Servizos bancarios</t>
  </si>
  <si>
    <t>Primas de seguros</t>
  </si>
  <si>
    <t>Servicios de Profesionais Indep. (Notarios, Avogados, etc.)</t>
  </si>
  <si>
    <t>Gastos de persoal</t>
  </si>
  <si>
    <t>Soldos e Salarios</t>
  </si>
  <si>
    <t>Compras de Materiais e Servizos</t>
  </si>
  <si>
    <t>Vida Completa do Proxecto</t>
  </si>
  <si>
    <t>GASTOS</t>
  </si>
  <si>
    <t>Total Ingresos de Explotación</t>
  </si>
  <si>
    <t>Subvencións de Capital Transferidas ao Resultado do Exercicio (Imputación anual)</t>
  </si>
  <si>
    <t>Ingresos Totais pola Enerxía Producida</t>
  </si>
  <si>
    <t>Ingreso por Transmisión da Enerxía Excedentaria Vendida</t>
  </si>
  <si>
    <t>Ingreso por Transmisión da Enerxía Excedentaria Acollida a Compensación</t>
  </si>
  <si>
    <t>Ingreso por Consumo de Enerxía polos Socios</t>
  </si>
  <si>
    <t>ref 1</t>
  </si>
  <si>
    <t xml:space="preserve">INGRESOS  </t>
  </si>
  <si>
    <t>Cód. Conta Contable</t>
  </si>
  <si>
    <t>Valores Acumulados (Suma)</t>
  </si>
  <si>
    <t>Hipóteses de partida</t>
  </si>
  <si>
    <t>CONTA DE EXPLOTACIÓN</t>
  </si>
  <si>
    <t>Importe Inicial (€)</t>
  </si>
  <si>
    <t>Valor  Unitario</t>
  </si>
  <si>
    <t>Total Outros Tributos Ano Inicial</t>
  </si>
  <si>
    <t>Total Garantías e Taxas Autonómicas</t>
  </si>
  <si>
    <t>Importe Aplicable</t>
  </si>
  <si>
    <t>Garantía ou Tributo Autonómico</t>
  </si>
  <si>
    <t>Total Gastos de Asesoramento e Xestión</t>
  </si>
  <si>
    <t>n/a</t>
  </si>
  <si>
    <t>Xestión da Entidade (Ata 25 socios)</t>
  </si>
  <si>
    <t>Gastos Xerais Non Incluídos en Epígrafes Previos</t>
  </si>
  <si>
    <t>€ por Socio e Mes</t>
  </si>
  <si>
    <t>Asesoramento Contable e Fiscal e Xestoría Admin.</t>
  </si>
  <si>
    <t>Composición Gastos de Asesoramento e Xestoría (Só Aplicables en Subcontratación)</t>
  </si>
  <si>
    <t>Subministro de Auga</t>
  </si>
  <si>
    <t>Subministro de Electricidade (Termo de Enerxía e outros)</t>
  </si>
  <si>
    <t>Telefonía Fixa e/ou móbil</t>
  </si>
  <si>
    <t>Primas de seguros (2% do Investimento Inicial, Anual)</t>
  </si>
  <si>
    <t>Mantemento instalacións</t>
  </si>
  <si>
    <t>Reparación instalacións</t>
  </si>
  <si>
    <t>Valor Unit.</t>
  </si>
  <si>
    <t>(Aplicabilidade dos Gastos determinada automaticamente segundo o indicado en Hipóteses Xerais)</t>
  </si>
  <si>
    <t>Aplicabilidade dos Gastos de Compras de Materiais e Servizos (Si/Non)</t>
  </si>
  <si>
    <t>(Se se opta pola subcontratación, os gastos de persoal non resultan de Aplicación)</t>
  </si>
  <si>
    <t>Aplicabilidade dos Gastos de Persoal (Si/Non)</t>
  </si>
  <si>
    <t>Importe Inicial Anual (€)</t>
  </si>
  <si>
    <t>Valor Unit. Mens.</t>
  </si>
  <si>
    <t>Total Ingresos por Cotas de Socios e Outros Servizos Complementarios</t>
  </si>
  <si>
    <t>Ingresos por Prestación Doutros Servizos Complementarios aos Socios</t>
  </si>
  <si>
    <t>Cota Extra Inicial (Só Primeiro Ano)</t>
  </si>
  <si>
    <t>Importe  Ingreso (€)</t>
  </si>
  <si>
    <t>Valor Anual / Socio</t>
  </si>
  <si>
    <t>Unidades (Socios)</t>
  </si>
  <si>
    <t>Outros Ingresos: Cotas de Socios e Outros Servizos</t>
  </si>
  <si>
    <t>Valor Estimado da Enerxía Total Producida (Autoconsumida e Excedentaria)</t>
  </si>
  <si>
    <t>Valor Estimado da Enerxía Excedentaria Vendida (€)</t>
  </si>
  <si>
    <t>Valor Estimado da Enerxía Exc. Acollida a Compensación (€)</t>
  </si>
  <si>
    <t>Valor Estimado da Enerxía Autoconsumida (€)</t>
  </si>
  <si>
    <t>Valor da Enerxía (€)</t>
  </si>
  <si>
    <t>% Valorable Económicamente</t>
  </si>
  <si>
    <t>Enerxía Valorable Económicamente (Excluíndo a Vertida á Rede sen Remuneración):</t>
  </si>
  <si>
    <t>MWh Produc.</t>
  </si>
  <si>
    <t>Enerxía Excedentaria Vendida</t>
  </si>
  <si>
    <t>Enerxía Excedentaria Acollida a Compensación)</t>
  </si>
  <si>
    <t>Enerxía Autoconsumida</t>
  </si>
  <si>
    <t>Enerxía Modalidade (MWh)</t>
  </si>
  <si>
    <t>% sobre Total Produc.</t>
  </si>
  <si>
    <t>Prezo Medio do MWh. (En Venda) €/MWh</t>
  </si>
  <si>
    <t>Prezo Medio do MWh. (En Compensación) €/MWh</t>
  </si>
  <si>
    <t>Prezo Medio do MWh. (En Autoconsumo); €/MWh</t>
  </si>
  <si>
    <t>Prezo a Aplicar (€/MWh)</t>
  </si>
  <si>
    <t>% s/ Precio Medio</t>
  </si>
  <si>
    <t>Prezo Medio de Mercado</t>
  </si>
  <si>
    <t>€</t>
  </si>
  <si>
    <t>Valor Estimado da Produción Enerxética</t>
  </si>
  <si>
    <t>€/MWh</t>
  </si>
  <si>
    <t>Prezo Medio do MWh.</t>
  </si>
  <si>
    <t>MWh</t>
  </si>
  <si>
    <t>Produción Enerxética Anual Estimada</t>
  </si>
  <si>
    <t>Para necesidades operativas + com prest.</t>
  </si>
  <si>
    <t>Investimento</t>
  </si>
  <si>
    <t>Desembolso Inicial (Incl. Renovación de Instalacións)</t>
  </si>
  <si>
    <t>Total Recursos Financeiros (Propios e Alleos)</t>
  </si>
  <si>
    <t>Préstamo</t>
  </si>
  <si>
    <t>Subvención</t>
  </si>
  <si>
    <t>Aportación de Capital Propio dos Socios</t>
  </si>
  <si>
    <t>Periodo de Recuperación do Investimento Excl. Subv. (Anos)</t>
  </si>
  <si>
    <t>Periodo de Recuperación do Investimento (Anos)</t>
  </si>
  <si>
    <t>VAN Socios con Fluxos de Financiamento (ke 5%)</t>
  </si>
  <si>
    <t>TIR Modificada dos Socios</t>
  </si>
  <si>
    <t>Inclusión do Valor da Enerxía Producida como Ingreso que Si Xera un Fluxo de Efectivo Pseudo-Monetario (Si/Non)</t>
  </si>
  <si>
    <t>TIR Socios Incluíndo Fluxos de Financiamento</t>
  </si>
  <si>
    <t>TIR modificada proxecto</t>
  </si>
  <si>
    <t>Ter en conta se está a excluír ou non o valor da enerxía producida e transmitida gratuitamente aos socios para o seu autoconsumo ou compensación.</t>
  </si>
  <si>
    <t>TIR proxecto</t>
  </si>
  <si>
    <t>Rendemento da instalación e recursos financeiros necesarios</t>
  </si>
  <si>
    <t>Valor Actual Fluxo de Caixa Proxecto</t>
  </si>
  <si>
    <t>Valor Actual do Fluxo de Caixa</t>
  </si>
  <si>
    <t>Cash Flow dos Socios</t>
  </si>
  <si>
    <t>Cash Flow proxecto [A+B]</t>
  </si>
  <si>
    <t>Cash Flow Libre [A+B+C]</t>
  </si>
  <si>
    <t>Fluxo de Caixa das Actividades de Financiamento (Recursos Propios e Débeda) [C]</t>
  </si>
  <si>
    <t>(-) Pagos por Remuneración de Instrumentos de Patrimonio (Dividendos)</t>
  </si>
  <si>
    <t xml:space="preserve"> (-) Pagos por Remuneración de Débeda (Intereses Préstamo)</t>
  </si>
  <si>
    <t xml:space="preserve"> (-) Amortización de préstamo</t>
  </si>
  <si>
    <t xml:space="preserve"> (+) Concesión de Préstamo</t>
  </si>
  <si>
    <t xml:space="preserve"> (+) Subvencións Recibidas</t>
  </si>
  <si>
    <t>(-) Amortización de Instrumentos de Patrimonio (Accións ou Participacións)</t>
  </si>
  <si>
    <t>(+) Emisión de Instrumentos de Patrimonio (Accións ou Participacións)</t>
  </si>
  <si>
    <t>Fluxo de Caixa das Actividades de Financiamento (Recursos Propios e Débeda)</t>
  </si>
  <si>
    <t>(=) Fluxo de Caixa das Actividades de Investimento [B]</t>
  </si>
  <si>
    <t>(+) Cobros por Desinversións Efectuadas</t>
  </si>
  <si>
    <t>(-) Pagos por Inversións Efectuadas</t>
  </si>
  <si>
    <t>Fluxo de Caixa das Actividades de Investimento</t>
  </si>
  <si>
    <t>(=) Fluxo de Caixa Operativo ou das Actividades de Explotación [A]</t>
  </si>
  <si>
    <t xml:space="preserve"> (-) / (+) Outros Ingresos e Gastos que Non Supoñen Fluxo de Efectivo</t>
  </si>
  <si>
    <t xml:space="preserve"> (+) Gastos Financeiros (Intereses da Débeda)</t>
  </si>
  <si>
    <t xml:space="preserve"> (-) Ingresos Financeiros</t>
  </si>
  <si>
    <t xml:space="preserve"> (-) Imputación de Subvencións no Resultado do Exercicio</t>
  </si>
  <si>
    <t xml:space="preserve"> (+) Variación Neta do Capital Circulante (Estimado en 1 Mes de Gastos de Explotación)</t>
  </si>
  <si>
    <t xml:space="preserve"> (+) Amortización do Investimento</t>
  </si>
  <si>
    <t xml:space="preserve"> (-) Ingresos por Enerxía Autoconsumida e Compensada</t>
  </si>
  <si>
    <t>Resultado Explotación</t>
  </si>
  <si>
    <t>Fluxo de Caixa Operativo</t>
  </si>
  <si>
    <t xml:space="preserve"> Conxunto dos 25 Anos</t>
  </si>
  <si>
    <t>Conceptos</t>
  </si>
  <si>
    <t>Total Proxecto</t>
  </si>
  <si>
    <t>Fluxos de caixa</t>
  </si>
  <si>
    <t>Préstamo [Non Aplicable, pois, de solicitarse, a débeda a contrae a Entidade]</t>
  </si>
  <si>
    <t>Subvención [Non Aplicable, pois se concede á Entidade e Non aos Socios]</t>
  </si>
  <si>
    <t>VAN Socios  (ke 5%)</t>
  </si>
  <si>
    <t>TIR Socios</t>
  </si>
  <si>
    <t>* Fluxo Neto de Valor Económico Actualizado *</t>
  </si>
  <si>
    <t>(=) Fluxo Neto de Valor Económico a Favor (+) do Socio ou na súa Contra (-) [A+B]</t>
  </si>
  <si>
    <t>(=) Total Valor Económico Aportado á Iniciativa Enerxética Comunitaria [B]</t>
  </si>
  <si>
    <t>(-) Cotas de Socio (Ordinarias + Extraordinaria Primeiro Ano) e Semellantes</t>
  </si>
  <si>
    <t>(-) Aportación de Capital á Iniciativa Comunitaria no Momento Inicial</t>
  </si>
  <si>
    <t>(=) Total Valor Económico Recibido da Iniciativa Enerxética Comunitaria [A]</t>
  </si>
  <si>
    <t>(+) Valor Económico da Enerxía Destinada á Venda</t>
  </si>
  <si>
    <t>(+) Valor Económico da Enerxía Destinada á Compensación</t>
  </si>
  <si>
    <t>(+) Valor Económico da Enerxía Autoconsumida</t>
  </si>
  <si>
    <t>Outros Ingresos Percibidos da CE</t>
  </si>
  <si>
    <t>Ingresos por Prestación Gratuíta de Outros Servizos pola CE</t>
  </si>
  <si>
    <t>Valor Individual por Socio</t>
  </si>
  <si>
    <t>Valor Conxunto</t>
  </si>
  <si>
    <t>Outras Percepcións dos Socios procedentes da CE</t>
  </si>
  <si>
    <t>Valor Enerxía Individualizada (€)</t>
  </si>
  <si>
    <t>Enerxía Individualizada (MWh)</t>
  </si>
  <si>
    <t>Valor Enerxía (€)</t>
  </si>
  <si>
    <t>Enerxía (MWh)</t>
  </si>
  <si>
    <t>Coeficiente de Reparto / Participación</t>
  </si>
  <si>
    <t>Investimento Individual por Socio</t>
  </si>
  <si>
    <t>Os datos desta folla cumpliméntase automáticamente, polo que non procede a súa modificación manual.</t>
  </si>
  <si>
    <t>Investimento (Capital Social)</t>
  </si>
  <si>
    <t>IMPORTANTE:</t>
  </si>
  <si>
    <t>Período de Recuperación do Investimento (Anos)</t>
  </si>
  <si>
    <t>TIR Modificada Conxunto dos Socios</t>
  </si>
  <si>
    <t>TIR Conxunto dos Socios</t>
  </si>
  <si>
    <t>Valor Actual Neto dos Fluxos de Valor Económico Esperados</t>
  </si>
  <si>
    <t>Valor Actual Neto dos Fluxos Positivos de Valor Económico</t>
  </si>
  <si>
    <t>Aportación Inicial dos Socios á Iniciativa Enerxética Comunitaria</t>
  </si>
  <si>
    <t>(Celda en Cor debe conter valor 0,00€; Cor Verde)</t>
  </si>
  <si>
    <t>Comprob. Coherencia entre Resultado Indiv. e Colectivo</t>
  </si>
  <si>
    <t>Valor Actual do Resultado Anual da Participación do Socio</t>
  </si>
  <si>
    <t>Resultado Anual da Participación Colectiva dos Socios na CE</t>
  </si>
  <si>
    <t>Total Gastos Derivados da Pertenza á CE</t>
  </si>
  <si>
    <t>Cargos por Servizos Complementarios aos Socios</t>
  </si>
  <si>
    <t>Conxunto Proxecto</t>
  </si>
  <si>
    <t>Total</t>
  </si>
  <si>
    <t>Total Ingresos Derivados da Pertenza á CE</t>
  </si>
  <si>
    <t>Ingresos por Enerxía Excedentaria Vendida</t>
  </si>
  <si>
    <t>Ingresos por Enerxía Excedentaria Suxeita a Compensación</t>
  </si>
  <si>
    <t>Ingresos por Enerxía Autoconsumida</t>
  </si>
  <si>
    <t>TIR Modificada Socio Individual</t>
  </si>
  <si>
    <t>TIR Socio Individual</t>
  </si>
  <si>
    <t>Aportación Inicial do Socio á Iniciativa Enerxética Comunitaria</t>
  </si>
  <si>
    <t>Resultado Anual da Participación do Socio Individual na CE</t>
  </si>
  <si>
    <t>% s/ BI (Suma Conceptos Previos</t>
  </si>
  <si>
    <t>IVE? (H / R / S)</t>
  </si>
  <si>
    <t>Imposto s/Electricidade Reducido?</t>
  </si>
  <si>
    <t>€/KWh</t>
  </si>
  <si>
    <t>Termo de Enerxía (Consumo)</t>
  </si>
  <si>
    <t>€/KWh e día</t>
  </si>
  <si>
    <t>IMPORTE TOTAL DA FATURA (Base Impoñible + Cota de IVE)</t>
  </si>
  <si>
    <t>IVE (Tipo Reducido Temporalmente)</t>
  </si>
  <si>
    <t>Base Impoñible do IVE (Suma dos Conceptos Previos)</t>
  </si>
  <si>
    <t>Subtotal (Suma dos Conceptos Previos)</t>
  </si>
  <si>
    <t>Importe (€)</t>
  </si>
  <si>
    <t>Unidades ou Base</t>
  </si>
  <si>
    <t>Concepto Faturado</t>
  </si>
  <si>
    <t>Exceso do Importe a Aboar sobre o Importe da Factura</t>
  </si>
  <si>
    <t>Novo Importe A Pagar (Importe Factura - Importe a Aboar)</t>
  </si>
  <si>
    <t>Importe a Aboar ao Prosumidor por Compensación ou Venda</t>
  </si>
  <si>
    <t>Valor da Enerxía Vendida Transmitida á Comercializadora</t>
  </si>
  <si>
    <t>Valor da Enerxía Suxeita a Compensación Transmitida á Comercializadora</t>
  </si>
  <si>
    <t>Prezo (€/KWh)</t>
  </si>
  <si>
    <t>KWh</t>
  </si>
  <si>
    <t>Compensacións</t>
  </si>
  <si>
    <t>Enerxía Mercada á Comercializadora</t>
  </si>
  <si>
    <t>Enerxía Producida Destinada á Compensación e Vertida á Rede sen Retribución Efectiva</t>
  </si>
  <si>
    <t>Validación (Enerxía Atribuíble ao Socio = Enerxía Efect. Autoconsumida e Destinada á Compensación ou Venda)</t>
  </si>
  <si>
    <t>Enerxía Efectiv. Autoconsumida e Destinada á Compensación ou á Venda (KWh.)</t>
  </si>
  <si>
    <t>Enerxía Efectivamente Vendida (KWh)</t>
  </si>
  <si>
    <t>Enerxía Destinada á Compensación (KWh)</t>
  </si>
  <si>
    <t>Enerxía Efectivamente Autoconsumida (KWh)</t>
  </si>
  <si>
    <t>Enerxía Efectivamente Demandada (KWh)</t>
  </si>
  <si>
    <t>Enerxía Producida Efectivamente Atribuíble a Cada Socio (Destinada A Autoconsumo e a Compensación Ou Venda), KWh.</t>
  </si>
  <si>
    <t>Enerxía correspondente á % de Aforro sobre Consumo, para Cada Socio (KWh.)</t>
  </si>
  <si>
    <t>Enerxía Producida Atribuíble a Cada Socio</t>
  </si>
  <si>
    <t>Total Enerxía Producida Atribuíble aos Socios</t>
  </si>
  <si>
    <t>Enerxía Disp. Para Venda (KWh)</t>
  </si>
  <si>
    <t>Enerxía Disp. Para Compensación (KWh)</t>
  </si>
  <si>
    <t>Enerxía Disp. Para Autoconsumo (KWh)</t>
  </si>
  <si>
    <t>Mes</t>
  </si>
  <si>
    <t>Ano</t>
  </si>
  <si>
    <t>Efecto Económico Neto Total (% s/ Importe da súa Factura Orixinal)</t>
  </si>
  <si>
    <t>(=) Efecto Económico Neto Total para o Socio (Positivo - Negativo)</t>
  </si>
  <si>
    <t>(-) Efecto Económico Negativo Total para o Socio (Cotas Pagadas á Entidade)</t>
  </si>
  <si>
    <t>(+) Efecto Económico Positivo Total para o Socio (Menor Importe a Pagar en Factura + Importe Obtido pola Enerxía Destinada á Compensación ou Venda)</t>
  </si>
  <si>
    <t>Consumo Mensual do Consumidor Tipo (KWh/Mes)</t>
  </si>
  <si>
    <t>(Considérase un mes tipo, para un consumidor tipo)</t>
  </si>
  <si>
    <t>Determinación do Efecto Económico Neto para o Socio da súa Pertenza á Iniciativa Enerxética Comunitaria</t>
  </si>
  <si>
    <t>Efecto Económico Positivo Total para o Socio</t>
  </si>
  <si>
    <t>Dif. s/Nova Fra. (Reduc.)</t>
  </si>
  <si>
    <t>Dif. % s/Fra. Inicial</t>
  </si>
  <si>
    <t>Diferencia</t>
  </si>
  <si>
    <t>Con CE (€)</t>
  </si>
  <si>
    <t>Sen CE (€)</t>
  </si>
  <si>
    <t>Dif. En %</t>
  </si>
  <si>
    <t>Consumo Total dos Socios</t>
  </si>
  <si>
    <t>Máxima Enerxía Atribuíble a un único socio (% s/ Producida)</t>
  </si>
  <si>
    <t>Proporción de Aforro de cada socio sobre a súa Factura inicial</t>
  </si>
  <si>
    <t>Consumo Total Mensual dos Socios</t>
  </si>
  <si>
    <t>Consumo Mensual Mínimo dos Socios</t>
  </si>
  <si>
    <t>Consumo Mensual Máximo dos Socios</t>
  </si>
  <si>
    <t>Coeficiente de Reparto (%)</t>
  </si>
  <si>
    <t>Consumo Enerxético Promedio Mensual do Socio (KWh)</t>
  </si>
  <si>
    <t>ID. de Socio</t>
  </si>
  <si>
    <t>Enerxía Non Asignada (Debe Ser Positivo e Próximo a Cero)</t>
  </si>
  <si>
    <t>Comprobación  Total Enerxía Autoconsumida, Compensada Ou Vendida &lt; ou = có Total de Enerxía Producida no Mes</t>
  </si>
  <si>
    <t>Enerxía Mercada á Comercializadora (KWh.)</t>
  </si>
  <si>
    <t>Enerxía Destinada á Compensación (KWh) Vertida á Rede sen Retribución</t>
  </si>
  <si>
    <t>Enerxía Destinada á Compensación (KWh) Efectivamente Retribuída</t>
  </si>
  <si>
    <t>Enerxía Efectiv. Autoconsumida e Compensada ou Vendida</t>
  </si>
  <si>
    <t>Ref. (Máximo)</t>
  </si>
  <si>
    <t>Total Enerxía Producida Atribuíble (KWh)</t>
  </si>
  <si>
    <t>Total Enerxía Producida Atribuíble por Mes (Todos os Socios)</t>
  </si>
  <si>
    <t>Enerxía Producida Dispoñible para Venda, por Mes (Todos os Socios)</t>
  </si>
  <si>
    <t>Enerxía Producida Dispoñible para Compensación, por Mes (Todos os Socios)</t>
  </si>
  <si>
    <t>Enerxía Producida Dispoñible para Autoconsumo, por Mes (Todos os Socios)</t>
  </si>
  <si>
    <t>Valor Económico</t>
  </si>
  <si>
    <t>Prezo Aplicable por KWh</t>
  </si>
  <si>
    <t>% Retrib. (Só Compensación)</t>
  </si>
  <si>
    <t>KWh. Ao Mes</t>
  </si>
  <si>
    <t>Enerxía Producida Atribuíble por Mes para Autoconsumo e Compensación ou Venda</t>
  </si>
  <si>
    <t>Diferencia entre o Aforro Preciso en Compensación ou Venda e  o Importe a Aboar por Compensación ou Venda</t>
  </si>
  <si>
    <t>Aforro Preciso en Compensación ou Venda</t>
  </si>
  <si>
    <t>Aforro Preciso (En Factura e Por Compensación ou Venda)</t>
  </si>
  <si>
    <t>Aforro a Realizar Efectivamente en Factura</t>
  </si>
  <si>
    <t>Déficit do Aforro Obtido fronte ao Necesario (Debería Aproximarse a Cero)</t>
  </si>
  <si>
    <t>Impacto Económico Positivo Total Obtido</t>
  </si>
  <si>
    <t>Ingresos por Venda de Enerxía Excedentaria á Comercializadora</t>
  </si>
  <si>
    <t>Ingresos por Transmisión á Comercializadora de Enerxía Excedentaria Suxeita a Compensación</t>
  </si>
  <si>
    <t>[(Factura Con CE) - (Factura Sen CE)]</t>
  </si>
  <si>
    <t>Aforro na Factura da Electricidade</t>
  </si>
  <si>
    <t>Total dos Socios</t>
  </si>
  <si>
    <t>Resultado Neto Mensual Esperado para o Socio da súa Pertenza á Comunidade (% s/ Factura Inicial)</t>
  </si>
  <si>
    <t>Resultado Neto Mensual Esperado para o Socio da súa Pertenza á Comunidade (€)</t>
  </si>
  <si>
    <t>Total de Custos Soportados polo Socio no Mes, Derivados da súa Pertenza á Comunidade (€)</t>
  </si>
  <si>
    <t>Outros Desembolsos Mensuais do Socio a Favor da CE ou Entidade -€/Mes-</t>
  </si>
  <si>
    <t>Cota Mensual Ordinaria (Todos os Anos) -€/Mes-</t>
  </si>
  <si>
    <t>Cota Mensual Extraordinaria Primeiro Ano -€/Mes-</t>
  </si>
  <si>
    <t>(Aforro na Factura e Ingresos por Compensación ou Venda da Enerxía Excedentaria)</t>
  </si>
  <si>
    <t>Impacto Económico Positivo Total Preciso (Mensual)</t>
  </si>
  <si>
    <t>Enerxía Producida Atribuíble ao Socio pero Non Efectivamente Asignada ao Mesmo (Por Consumo Insuficiente Deste)</t>
  </si>
  <si>
    <t>Comprobación (Consumo = Autoconsumo + Enerxía Mercada)</t>
  </si>
  <si>
    <t>Enerxía Compensada Retribuída (KWh.)</t>
  </si>
  <si>
    <t>Enerxía Vertida á Rede sen Compensación Económica (KWh.)</t>
  </si>
  <si>
    <t>Enerxía Efectivamente Destinada á Compensación (KWh)</t>
  </si>
  <si>
    <t>Total Enerxía Producida Atribuíble ao Socio (KWh)</t>
  </si>
  <si>
    <t>Impacto Económico Positivo Total</t>
  </si>
  <si>
    <t>Impacto Económico Positivo Total (Mensual)</t>
  </si>
  <si>
    <t>Inclusión del Valor de la Energía Producida como Ingreso que Si Genera un Flujo de Efectivo Pseudo-Monetario (Si/No)</t>
  </si>
  <si>
    <t>Inclusion of Value of Energy Produced as Income that Does Generate a Pseudo-Monetary Cash Flow (Yes/No)</t>
  </si>
  <si>
    <t>Toodetud Energia Väärtuse Lisamine Tuluna, mis Tekitab Pseudorahalise Rahavoo (Jah/Ei)</t>
  </si>
  <si>
    <t xml:space="preserve"> Conjunto de los 25 Años</t>
  </si>
  <si>
    <t xml:space="preserve"> 25 Year Set</t>
  </si>
  <si>
    <t>25 Aastat Komplekt</t>
  </si>
  <si>
    <t>Conxunto dos 25 Anos</t>
  </si>
  <si>
    <t>Total Proyecto</t>
  </si>
  <si>
    <t>Project Total</t>
  </si>
  <si>
    <t>Projekt Kogu</t>
  </si>
  <si>
    <t>Consider whether or not to exclude the value of the energy produced and transmitted free of charge to the members for self-consumption or compensation.</t>
  </si>
  <si>
    <t>Arvestada, kas toodetud ja liikmetele omatarbeks või hüvitamiseks tasuta edastatud energia väärtus tuleb välja jätta või mitte.</t>
  </si>
  <si>
    <t>Para Necesidades Operativas:</t>
  </si>
  <si>
    <t>For Operational Needs:</t>
  </si>
  <si>
    <t>Operatiivvajadusteks:</t>
  </si>
  <si>
    <t>Inversión</t>
  </si>
  <si>
    <t>Investment</t>
  </si>
  <si>
    <t>Investeering</t>
  </si>
  <si>
    <t>Desembolso Inicial (Incl. Renovación de Instalaciones)</t>
  </si>
  <si>
    <t>Initial Disbursement (Incl. Renovation of Facilities)</t>
  </si>
  <si>
    <t>Esmane Väljamakse (Sh Hoone Renoveerimine)</t>
  </si>
  <si>
    <t>Total Recursos Financieros (Propios y Ajenos)</t>
  </si>
  <si>
    <t>Total Financial Resources (Own and Borrowed)</t>
  </si>
  <si>
    <t>Finantsressursid Kokku (Oma ja Välised)</t>
  </si>
  <si>
    <t>Loan</t>
  </si>
  <si>
    <t>Laen</t>
  </si>
  <si>
    <t>Grant</t>
  </si>
  <si>
    <t>Toetus</t>
  </si>
  <si>
    <t>Aportación de Capital Propio de los Socios</t>
  </si>
  <si>
    <t>Shareholders' Equity Contribution</t>
  </si>
  <si>
    <t>Aktsionäride Omakapitali Sissemakse</t>
  </si>
  <si>
    <t>Periodo de Recuperación de la Inversión Excl. Subv. (Años)</t>
  </si>
  <si>
    <t>Payback Period Excl. Grant (Years)</t>
  </si>
  <si>
    <t>Investeeringu Taastumise Periood v.a. Subv. (Aastad)</t>
  </si>
  <si>
    <t>Período de Recuperación do Investimento Excl. Subv. (Anos)</t>
  </si>
  <si>
    <t>Periodo de Recuperación de la Inversión (Años)</t>
  </si>
  <si>
    <t>Payback Period (Years)</t>
  </si>
  <si>
    <t>Investeeringu Taastumise Periood (Aastates)</t>
  </si>
  <si>
    <t>VAN Socios con Flujos de Financiación (ke 5%)</t>
  </si>
  <si>
    <t>NPV Partners with Funding Flows (ke 5%)</t>
  </si>
  <si>
    <t>Finantsvoogudega NPV Partnerid (ke 5%)</t>
  </si>
  <si>
    <t>TIR Modificada de los Socios</t>
  </si>
  <si>
    <t>Partners' Modified IRR</t>
  </si>
  <si>
    <t>Muudetud Partnerite IRR</t>
  </si>
  <si>
    <t>TIR Socios Incluyendo Flujos de Financiación</t>
  </si>
  <si>
    <t>IRR Partners Including Financing Cash Flows</t>
  </si>
  <si>
    <t>IRR-i partnerid, sealhulgas rahastamisvood</t>
  </si>
  <si>
    <t>TIR modificada proyecto</t>
  </si>
  <si>
    <t>Modified project IRR</t>
  </si>
  <si>
    <t>Projekti muudetud IRR</t>
  </si>
  <si>
    <t>TIR proyecto</t>
  </si>
  <si>
    <t>Project IRR</t>
  </si>
  <si>
    <t>Projekt IRR</t>
  </si>
  <si>
    <t>Rendimiento de la instalación y recursos financieros necesarios</t>
  </si>
  <si>
    <t>Performance of the installation and financial resources required</t>
  </si>
  <si>
    <t>Vajalik on rajatise jõudlus ja rahalised vahendid</t>
  </si>
  <si>
    <t>Valor Actual Flujo de Caja Proyecto</t>
  </si>
  <si>
    <t>Present Value Cash Flow Project</t>
  </si>
  <si>
    <t>Praeguse Väärtuse Rahavoo Projekt</t>
  </si>
  <si>
    <t>Valor Actual del Flujo de Caja</t>
  </si>
  <si>
    <t>Present Value of Cash Flow</t>
  </si>
  <si>
    <t>Rahavoo Praegune Väärtus</t>
  </si>
  <si>
    <t>Cash Flow de los Socios</t>
  </si>
  <si>
    <t>Cash Flow from Partners</t>
  </si>
  <si>
    <t>Partnerite Rahavoog</t>
  </si>
  <si>
    <t>Cash Flow proyecto [A+B]</t>
  </si>
  <si>
    <t>Project Cash Flow [A+B]</t>
  </si>
  <si>
    <t>Projekti Rahavoog [A+B]</t>
  </si>
  <si>
    <t>Free Cash Flow [A+B+C]</t>
  </si>
  <si>
    <t>Tasuta Rahavoog [A+B+C]</t>
  </si>
  <si>
    <t>(=) Flujo de Caja de las Actividades de Financiación (Recursos Propios y Deuda) [C]</t>
  </si>
  <si>
    <t>(=) Cash Flow from Financing Activities (Equity and Debt) [C]</t>
  </si>
  <si>
    <t>(=) Rahavoog Finantseerimistegevusest (Omavahendid ja Võlg) [C]</t>
  </si>
  <si>
    <t>(=) Fluxo de Caixa das Actividades de Financiamento (Recursos Propios e Débeda) [C]</t>
  </si>
  <si>
    <t>(-) Remuneration Payments for Equity Instruments (Dividends)</t>
  </si>
  <si>
    <t>(-) Aktsiainstrumentide Tasu Maksmine (Dividendid)</t>
  </si>
  <si>
    <t>(-) Pagos por Remuneración de Deuda (Intereses Préstamo)</t>
  </si>
  <si>
    <t>(-) Debt Remuneration Payments (Loan Interest)</t>
  </si>
  <si>
    <t>(-) Võlahüvitise Maksed (Laenuintress)</t>
  </si>
  <si>
    <t>(-) Pagos por Remuneración de Débeda (Intereses Préstamo)</t>
  </si>
  <si>
    <t>(-) Amortización de préstamo</t>
  </si>
  <si>
    <t>(-) Loan amortization</t>
  </si>
  <si>
    <t>(-) Laenu amortisatsioon</t>
  </si>
  <si>
    <t>(+) Concesión de Préstamo</t>
  </si>
  <si>
    <t>(+) Loan Concession</t>
  </si>
  <si>
    <t>(+) Laenutoetus</t>
  </si>
  <si>
    <t>(+) Subvenciones Recibidas</t>
  </si>
  <si>
    <t>(+) Grants Received</t>
  </si>
  <si>
    <t>(+) Saadud Toetused</t>
  </si>
  <si>
    <t>(+) Subvencións Recibidas</t>
  </si>
  <si>
    <t>(-) Amortización de Instrumentos de Patrimonio (Acciones o Participaciones)</t>
  </si>
  <si>
    <t>(-) Amortization of Equity Instruments (Shares or Participations)</t>
  </si>
  <si>
    <t>(-) Aktsiainstrumentide Amortisatsioon (Aktsiad või Osalused)</t>
  </si>
  <si>
    <t>(+) Emisión de Instrumentos de Patrimonio (Acciones o Participaciones)</t>
  </si>
  <si>
    <t>(+) Issuance of Equity Instruments (Shares or Participations)</t>
  </si>
  <si>
    <t>(+) Aktsiainstrumentide Emiteerimine (Aktsiad või Osalused)</t>
  </si>
  <si>
    <t>Flujo de Caja de las Actividades de Financiación (Recursos Propios y Deudas)</t>
  </si>
  <si>
    <t>Cash Flow from Financing Activities (Shareholders' Equity and Debt)</t>
  </si>
  <si>
    <t>Rahavoog Finantseerimistegevusest (Omavahendid ja Võlad)</t>
  </si>
  <si>
    <t>(=) Flujo de Caja de las Actividades de Inversión [B]</t>
  </si>
  <si>
    <t>(=) Cash Flow from Investing Activities [B]</t>
  </si>
  <si>
    <t>(=) Investeerimistegevuse Rahavoog [B]</t>
  </si>
  <si>
    <t>(+) Cobros por Desinversiones Efectuadas</t>
  </si>
  <si>
    <t>(+) Proceeds from Divestitures Made</t>
  </si>
  <si>
    <t>(+) Kollektsioonid Loovutamiseks</t>
  </si>
  <si>
    <t>(-) Pagos por Inversiones Efectuadas</t>
  </si>
  <si>
    <t>(-) Investment Payments Made</t>
  </si>
  <si>
    <t>(-) Maksed Tehtud Investeeringute Eest</t>
  </si>
  <si>
    <t>Flujo de Caja de las Actividades de Inversión</t>
  </si>
  <si>
    <t>Cash Flow from Investing Activities</t>
  </si>
  <si>
    <t>Investeerimistegevuse Rahavoog</t>
  </si>
  <si>
    <t>(=) Flujo de Caja Operativo o de las Actividades de Explotación [A]</t>
  </si>
  <si>
    <t>(=) Operating Cash Flow or Cash Flow from Operating Activities [A].</t>
  </si>
  <si>
    <t>(=) Äritegevuse Rahavoog või Äritegevused [A]</t>
  </si>
  <si>
    <t>(-) / (+) Otros Ingresos y Gastos que No Suponen Flujo de Efectivo</t>
  </si>
  <si>
    <t>(-) / (+) Other Non-Cash Revenues and Expenses</t>
  </si>
  <si>
    <t>(-) / (+) Muud Tulud ja Kulud, Mis Ei Ole Seotud Rahavoogudega</t>
  </si>
  <si>
    <t>(-) / (+) Outros Ingresos e Gastos que Non Supoñen Fluxo de Efectivo</t>
  </si>
  <si>
    <t>(+) Gastos Financieros (Intereses de la Deuda)</t>
  </si>
  <si>
    <t>(+) Financial Expenses (Interest on Debt)</t>
  </si>
  <si>
    <t>(+) Finantskulud (Võlaintressid)</t>
  </si>
  <si>
    <t>(+) Gastos Financeiros (Intereses da Débeda)</t>
  </si>
  <si>
    <t>(-) Ingresos Financieros</t>
  </si>
  <si>
    <t>(-) Financial Income</t>
  </si>
  <si>
    <t>(-) Finantstulu</t>
  </si>
  <si>
    <t>(-) Ingresos Financeiros</t>
  </si>
  <si>
    <t>(-) Imputación de Subvenciones en el Resultado del Ejercicio</t>
  </si>
  <si>
    <t>(-) Allocation of Grants to Profit or Loss for the Year</t>
  </si>
  <si>
    <t>(-) Subsiidiumide Eraldamine Eelarveaasta Tulemusel</t>
  </si>
  <si>
    <t>(-) Imputación de Subvencións no Resultado do Exercicio</t>
  </si>
  <si>
    <t>(+) Variación Neta del Capital Circulante (Estimado en 1 Mes de Gastos de Explotación)</t>
  </si>
  <si>
    <t>(+) Net Change in Working Capital (Estimated in 1 Month of Operating Expenses)</t>
  </si>
  <si>
    <t>(+) Käibekapitali Netomuutus (Hinnanguliselt 1 Kuu Tegevuskuludes)</t>
  </si>
  <si>
    <t>(+) Variación Neta do Capital Circulante (Estimado en 1 Mes de Gastos de Explotación)</t>
  </si>
  <si>
    <t xml:space="preserve">(+) Amortización de la Inversión </t>
  </si>
  <si>
    <t>(+) Amortization of the Investment</t>
  </si>
  <si>
    <t>(+) Investeeringute Amortisatsioon</t>
  </si>
  <si>
    <t>(+) Amortización do Investimento</t>
  </si>
  <si>
    <t>(-) Ingresos por Energía Autoconsumida y Compensada</t>
  </si>
  <si>
    <t>(-) Self-consumed and Compensated Energy Revenues</t>
  </si>
  <si>
    <t>(-) Tulu Omatarbimisest ja Kompenseeritud Energiast</t>
  </si>
  <si>
    <t>(-) Ingresos por Enerxía Autoconsumida e Compensada</t>
  </si>
  <si>
    <t>Resultado de Explotación</t>
  </si>
  <si>
    <t>Operating Result</t>
  </si>
  <si>
    <t>Ärakasutamise Tulemus</t>
  </si>
  <si>
    <t>Flujo de Caja Operativo</t>
  </si>
  <si>
    <t>Operating Cash Flow</t>
  </si>
  <si>
    <t>Äritegevuse Rahavoog</t>
  </si>
  <si>
    <t>Concepts</t>
  </si>
  <si>
    <t>Kontseptsioonid</t>
  </si>
  <si>
    <t>Flujos de Caja</t>
  </si>
  <si>
    <t>Cash Flows</t>
  </si>
  <si>
    <t>Sularahavood</t>
  </si>
  <si>
    <t>Resultado Neto Mensual Esperado para el Socio de su Pertenencia a la Iniciativa Energética Comunitaria (% s/ Factura Inicial)</t>
  </si>
  <si>
    <t>Expected Monthly Net Result of the Community Energy Initiative Membership for the Partner (% on Initial Invoice Amount)</t>
  </si>
  <si>
    <t>Ühenduse Energiaalgatuse Liikmelisuse Eeldatav Igakuine Metotulemus Partnerile (% Esialgsest Arve Summast)</t>
  </si>
  <si>
    <t>Resultado Neto Mensual Esperado para o Socio da súa Pertenza á Iniciativa Enerxética Comunitaria (% s/ Fatura Inicial)</t>
  </si>
  <si>
    <t>Resultado Neto Mensual Esperado para el Socio de su Pertenencia a la Iniciativa Energética Comunitaria (€)</t>
  </si>
  <si>
    <t>Expected Monthly Net Result of the Community Energy Initiative Membership for the Partner (€)</t>
  </si>
  <si>
    <t>Ühenduse Energiaalgatuse Liikmelisuse Eeldatav Igakuine Metotulemus Partnerile (€)</t>
  </si>
  <si>
    <t>Resultado Neto Mensual Esperado para o Socio da súa Pertenza á Iniciativa Enerxética Comunitaria (€)</t>
  </si>
  <si>
    <t>Total de Costes Soportados por el Socio al Mes, Derivados de su Pertenencia a la Iniciativa Energética Comunitaria (€)</t>
  </si>
  <si>
    <t>Total Monthly Costs Assumed by the Partner, Deriving from the Membership in the Community Energy Initiative (€)</t>
  </si>
  <si>
    <t>Partneri Kogukulud, Mis Tulenevad Ühenduse Energiaalgatuse Liikmestaatusest (€)</t>
  </si>
  <si>
    <t>Total de Custos Soportados polo Socio no Mes, Derivados da súa Pertenza á Iniciativa Enerxética Comunitaria (€)</t>
  </si>
  <si>
    <t>Otros Desembolsos Mensuales del Socio a Favor de la Entidad Gestora de la Iniciativa Energética Comunitaria -€/Mes-</t>
  </si>
  <si>
    <t>Other Monthly Amounts Paid by the Partner to the Community Energy Initiative Manager-Entity -€ per Month-</t>
  </si>
  <si>
    <t>Muud Igakuised Summad, Mida Partner Maksab Ühenduse Energiaalgatuse Haldaja-üksusele -€ Kuus-</t>
  </si>
  <si>
    <t>Outros Desembolsos Mensuais do Socio a Favor da Entidade Xestora da Iniciativa Enerxética Comunitaria -€/Mes-</t>
  </si>
  <si>
    <t>Cuota Mensual Ordinaria (Todos los Años) -€/Mes-</t>
  </si>
  <si>
    <t>Ordinary Monthly Membership Fee (All Years) -€ per Month-</t>
  </si>
  <si>
    <t>Tavaline Igakuine Liikmemaks (Kõik Aastad) -€ Kuus-</t>
  </si>
  <si>
    <t>Cuota Mensual Extraordinaria Primer Año -€/Mes-</t>
  </si>
  <si>
    <t>Extraordinary Monthly Membership Fee for the First Year -€ per Month-</t>
  </si>
  <si>
    <t>Erakorraline Igakuine Liikmemaks Esimesel Aastal -€ Kuus-</t>
  </si>
  <si>
    <t>Conjunto Completo de los Socios</t>
  </si>
  <si>
    <t>Complete Set of Partners</t>
  </si>
  <si>
    <t>Täielik Partnerite Komplekt</t>
  </si>
  <si>
    <t>Conxunto Completo dos Socios</t>
  </si>
  <si>
    <t>(Ahorro en la Factura e Ingresos por Compensación o Venta de la Energía Excedentaria)</t>
  </si>
  <si>
    <t>(Savings Achieved on the Electricity Invoice and Revenues from Excedentary Energy Compensation or Sale)</t>
  </si>
  <si>
    <t>(Elektriarvelt Saavutatud Sääst ja Ülemäärasest Energiakompensatsioonist või -Müügist Saadav Tulu)</t>
  </si>
  <si>
    <t>(Aforro na Fatura e Ingresos por Compensación ou Venda da Enerxía Excedentaria)</t>
  </si>
  <si>
    <t>Total Positive Economic Impact (Monthly)</t>
  </si>
  <si>
    <t>Kogu Positiivne Majanduslik Mõju (Igakuine)</t>
  </si>
  <si>
    <t>Número de Identificación do Socio</t>
  </si>
  <si>
    <t>Número de Identificación del Socio</t>
  </si>
  <si>
    <t>Partner ID Number</t>
  </si>
  <si>
    <t>Partner ID number</t>
  </si>
  <si>
    <t>TIR Modificada del Socio Individual (%)</t>
  </si>
  <si>
    <t>Individual Partner Modified IRR (%)</t>
  </si>
  <si>
    <t>Individuaalne Partner Muudetud IRR (%)</t>
  </si>
  <si>
    <t>TIR Modificada do Socio Individual (%)</t>
  </si>
  <si>
    <t>TIR del Socio Individual (%)</t>
  </si>
  <si>
    <t>Individual Partner IRR (%)</t>
  </si>
  <si>
    <t>Individuaalne Partner IRR (%)</t>
  </si>
  <si>
    <t>TIR do Socio Individual (%)</t>
  </si>
  <si>
    <t>Aportación Inicial del Socio a la Iniciativa Energética Comunitaria</t>
  </si>
  <si>
    <t>Initial Partner Contribution to the Community Energy Initiative</t>
  </si>
  <si>
    <t>Partnerite Esialgne Panus Ühenduse Energiaalgatusse</t>
  </si>
  <si>
    <t>Resultado Anual de la Participación del Socio Individual en la Iniciativa Energética Comunitaria</t>
  </si>
  <si>
    <t>Annual Result of the Membership of the Individual Partner in the Community Energy Initiative</t>
  </si>
  <si>
    <t>Iga-aastane Tulemus Ühenduse Energiaalgatuse Individuaalse Partneri Liikmelisusest</t>
  </si>
  <si>
    <t>Resultado Anual da Participación do Socio Individual na Iniciativa Enerxética Comunitaria</t>
  </si>
  <si>
    <t>(Celda en Color debe contener valor 0,00€; Color Verde)</t>
  </si>
  <si>
    <t>(Colour Cell must show 0.00€ value; Green Colour)</t>
  </si>
  <si>
    <t>(Värvilahter Peab Näitama Väärtust 0,00 €; Roheline Värv)</t>
  </si>
  <si>
    <t>(Cela en Cor debe conter valor 0,00€; Cor Verde)</t>
  </si>
  <si>
    <t>Comprobación de la Coherencia entre los Resultados Individual y Colectivo</t>
  </si>
  <si>
    <t>Verification of Coherence between Individual and Collective Results</t>
  </si>
  <si>
    <t>Individuaalsete ja Kollektiivsete Tulemuste Vahelise Sidususe Kontroll</t>
  </si>
  <si>
    <t>Comprobación da Coherencia entre os Resultados Individual e Colectivo</t>
  </si>
  <si>
    <t>TIR Modificada del Conjunto de los Socios (%)</t>
  </si>
  <si>
    <t>Modified IRR Complete Set of Partners (%)</t>
  </si>
  <si>
    <t>Muudetud IRR Täielik Partnerite Komplekt (%)</t>
  </si>
  <si>
    <t>TIR Modificada Conxunto dos Socios (%)</t>
  </si>
  <si>
    <t>TIR Conjunto de Socios (%)</t>
  </si>
  <si>
    <t>IRR Complete Set of Partners (%)</t>
  </si>
  <si>
    <t>Täieliku Partnerite Komplekti IRR</t>
  </si>
  <si>
    <t>TIR Conxunto dos Socios (%)</t>
  </si>
  <si>
    <t>Valor Actual Neto de los Flujos de Valor Económico Esperados</t>
  </si>
  <si>
    <t>Net Present Value of the Expected Flows of Economic Value</t>
  </si>
  <si>
    <t>Majandusliku Väärtuse Eeldatavate Voogude Nüüdispuhasväärtus</t>
  </si>
  <si>
    <t>Valor Actual Neto de los Flujos Positivos de Valor Económico</t>
  </si>
  <si>
    <t>Net Present Value of the Positive Flows of Economic Value</t>
  </si>
  <si>
    <t>Majandusväärtuse Positiivsete Voogude Nüüdispuhasväärtus</t>
  </si>
  <si>
    <t>Los datos de esta hoja se cumplimentan automáticamente, por lo que no procede su modificación manual.</t>
  </si>
  <si>
    <t>Data on this sheet are automatically filled-in. For this reason it would not be appropriate modifying them manually.</t>
  </si>
  <si>
    <t>Sellel lehel olevad andmed täidetakse automaatselt. Sel põhjusel ei oleks asjakohane neid käsitsi muuta.</t>
  </si>
  <si>
    <t>Os datos desta folla cumpliméntase automaticamente, polo que non procede a súa modificación manual.</t>
  </si>
  <si>
    <t>Importante:</t>
  </si>
  <si>
    <t>Important Notice:</t>
  </si>
  <si>
    <t>Tähtis Teade:</t>
  </si>
  <si>
    <t>Valor Actual del Resultado Anual de la Participación del Socio</t>
  </si>
  <si>
    <t>Present Value of the Annual Result of the Partner Membership</t>
  </si>
  <si>
    <t>Partnerliikmelisuse Iga-aastase Tulemuse Praegune Väärtus</t>
  </si>
  <si>
    <t>Resultado Anual de la Participación Colectiva de los Socios en la Iniciativa Energética Comunitaria</t>
  </si>
  <si>
    <t>Annual Result of the Collective Membership of Partners in the Community Energy Initiative</t>
  </si>
  <si>
    <t>Ühenduse Energiaalgatuse Partnerite Kollektiivse Liikmelisuse Iga-aastane Tulemus</t>
  </si>
  <si>
    <t>Resultado Anual da Participación Colectiva dos Socios na Iniciativa Enerxética Comunitaria</t>
  </si>
  <si>
    <t>Total Gastos Derivados de la Pertenencia a la Iniciativa Energética Comunitaria</t>
  </si>
  <si>
    <t>Total Expenses Deriving From Community Energy Initiative Membership</t>
  </si>
  <si>
    <t>Kogukulud, Mis Tulenevad Ühenduse Energiaalgatuse Liikmelisusest</t>
  </si>
  <si>
    <t>Total Gastos Derivados da Pertenza á Iniciativa Enerxética Comunitaria</t>
  </si>
  <si>
    <t>Cargos por Prestación de Servicios Complementarios a los Socios</t>
  </si>
  <si>
    <t>Charges for Complementary Services Provision to Partners</t>
  </si>
  <si>
    <t>Tasud Partneritele Täiendavate Teenuste Osutamise Eest</t>
  </si>
  <si>
    <t>Cargos por Prestación de Servizos Complementarios aos Socios</t>
  </si>
  <si>
    <t>Extraordinary Initial Membership Fee (Only for the First Year)</t>
  </si>
  <si>
    <t>Erakorraline Esialgne Liikmemaks (Ainult Esimesel Aastal)</t>
  </si>
  <si>
    <t>Cota Extraordinaria Inicial (Só Primeiro Ano)</t>
  </si>
  <si>
    <t>Conjunto del Proyecto</t>
  </si>
  <si>
    <t>Project Lifetime</t>
  </si>
  <si>
    <t>Projektikomplekt</t>
  </si>
  <si>
    <t>Conxunto do Proxecto</t>
  </si>
  <si>
    <t>Kogusumma</t>
  </si>
  <si>
    <t>Total Ingresos Derivados de la Pertenencia a la Iniciativa Energética Comunitaria</t>
  </si>
  <si>
    <t>Total Revenues Derived from the Community Energy Initiative Membership</t>
  </si>
  <si>
    <t>Kogutulu, Mis Saadakse Ühenduse Energiaalgatuse Liikmelisusest</t>
  </si>
  <si>
    <t>Total Ingresos Derivados da Pertenza á Iniciativa Enerxética Comunitaria</t>
  </si>
  <si>
    <t>Ingresos por Energía Excedentaria Vendida</t>
  </si>
  <si>
    <t>Revenues from Excedentary Energy Sold</t>
  </si>
  <si>
    <t>Tulu Müüdud Energia Ülejäägist</t>
  </si>
  <si>
    <t>Ingresos por Energía Excedentaria Sujeta a Compensación</t>
  </si>
  <si>
    <t>Revenues from Excedentary Energy Subject to Energy Compensation</t>
  </si>
  <si>
    <t>Tulud Ülemäärasest Energiast, Mille Suhtes Kohaldatakse Energiakompensatsiooni</t>
  </si>
  <si>
    <t>Ingresos por Energía Autoconsumida</t>
  </si>
  <si>
    <t>Revenues from Self-Consumed Energy</t>
  </si>
  <si>
    <t>Tulud Omatarbest Energiast</t>
  </si>
  <si>
    <t>Cuota Mínima Ajustada por Impacto Fiscal a satisfacer por el Socio Tipo (Consumo = 294,41 KWh al Mes)</t>
  </si>
  <si>
    <t>Minimum Membership Fee, Adjusted for the Fiscal Impact, to be satisfied by the Typical Partner (Consumption = 294,41 KWh per Month)</t>
  </si>
  <si>
    <t>Minimaalne Liikmemaks, Mis on Kohandatud Fiskaalmõjuga, Mille Peab Tasuma Tavapartner (Tarbimine = 294,41 KWh Kuus)</t>
  </si>
  <si>
    <t>Cuotas de Socios Ajustadas por Impacto Fiscal en el Año Inicial</t>
  </si>
  <si>
    <t>Adjusted Monthly Membership Fees in the Initial Year</t>
  </si>
  <si>
    <t>Korrigeeritud Igakuised Liikmemaksud Algaastal</t>
  </si>
  <si>
    <t>Cuota de Socio Mensual Ajustada</t>
  </si>
  <si>
    <t>Adjusted Monthly Membership Fee</t>
  </si>
  <si>
    <t>Korrigeeritud Igakuine Liikmemaks</t>
  </si>
  <si>
    <t>Cota de Socio Mensual Axustada</t>
  </si>
  <si>
    <t>Cuota Tributaria</t>
  </si>
  <si>
    <t>Tax Amount Payable</t>
  </si>
  <si>
    <t>Maksmisele Kuuluv Maksusumma</t>
  </si>
  <si>
    <t>Cota Tributaria</t>
  </si>
  <si>
    <t>Cálculo de la Incidencia del Impacto Fiscal sobre el Valor de las Cuotas de Socio</t>
  </si>
  <si>
    <t>Calculation of the Incidence of the Tax Impact on the Value of Membership Fees</t>
  </si>
  <si>
    <t>Liikmemaksude Väärtusele Avaldatava Maksumõju Arvutamine</t>
  </si>
  <si>
    <t>Cuota Mínima a satisfacer por el Socio Tipo (Consumo = 294,41 KWh al Mes)</t>
  </si>
  <si>
    <t>Minimum Membership Fee to be satisfied by the Typical Partner (Consumption = 294,41 KWh per Month)</t>
  </si>
  <si>
    <t>Minimaalne Liikmemaks, Mille Peab Tasuma Tavapartner (Tarbimine = 294,41 kWh Kuus)</t>
  </si>
  <si>
    <t>Cuotas de Socios en el Año Inicial</t>
  </si>
  <si>
    <t>Initial Year Membership Fees</t>
  </si>
  <si>
    <t>Algaasta Liikmemaksud</t>
  </si>
  <si>
    <t>Determinación de la Cuota Promedio Necesaria para la Cobertura de Costes:</t>
  </si>
  <si>
    <t>Determination of the Average Fee Necessary for Cost Coverage:</t>
  </si>
  <si>
    <t>Kulude Katmiseks Vajaliku Keskmise Tasu Määramine:</t>
  </si>
  <si>
    <t>Superávit (+) o Déficit (-)</t>
  </si>
  <si>
    <t>Surplus (+) or Deficit (-)</t>
  </si>
  <si>
    <t>Ülejääk (+) või Puudujääk (-)</t>
  </si>
  <si>
    <t>Suma de Costes</t>
  </si>
  <si>
    <t>Sum of Costs</t>
  </si>
  <si>
    <t>Kulude Summa</t>
  </si>
  <si>
    <t>Total Computable Monetary Income</t>
  </si>
  <si>
    <t>kogu Arvutatav Rahaline Sissetulek</t>
  </si>
  <si>
    <t>Suma de Otros Ingresos Monetarios (Imputación Subvención)</t>
  </si>
  <si>
    <t>Sum of Other Monetary Income (Grant Annual Attribution)</t>
  </si>
  <si>
    <t>Muu Rahalise Sissetuleku Summa (Toetuse Aastane Omistamine)</t>
  </si>
  <si>
    <t>Suma de Outros Ingresos Monetarios (Imputación Subvención)</t>
  </si>
  <si>
    <t>Suma de Ingresos Monetarios (Cuotas)</t>
  </si>
  <si>
    <t>Sum of Monetary Income (Membership Fees)</t>
  </si>
  <si>
    <t>Rahalise Sissetuleku Summa (Liikmemaksud)</t>
  </si>
  <si>
    <t>Resumen de la Cuenta de Resultados:</t>
  </si>
  <si>
    <t>Results Account Summary:</t>
  </si>
  <si>
    <t>Tulemused Konto Kokkuvõte:</t>
  </si>
  <si>
    <t>Resultado Neto</t>
  </si>
  <si>
    <t>Net Result</t>
  </si>
  <si>
    <t>Netotulemus</t>
  </si>
  <si>
    <t>Impuesto sobre Sociedades (IS)</t>
  </si>
  <si>
    <t>Corporate Income Tax</t>
  </si>
  <si>
    <t>Ettevõtte Tulumaks</t>
  </si>
  <si>
    <t>Imposto sobre Sociedades (IS)</t>
  </si>
  <si>
    <t>Resultado Antes de Impuestos</t>
  </si>
  <si>
    <t>Earnings Before Taxes</t>
  </si>
  <si>
    <t>Kasum Enne Makse</t>
  </si>
  <si>
    <t>Resultado Antes de Impostos</t>
  </si>
  <si>
    <t>Gastos Financieros</t>
  </si>
  <si>
    <t>Financial Expenses</t>
  </si>
  <si>
    <t>Rahalised Kulud</t>
  </si>
  <si>
    <t>Gastos Financeiros</t>
  </si>
  <si>
    <t>Ingresos Financieros</t>
  </si>
  <si>
    <t>Financial Income</t>
  </si>
  <si>
    <t>Finantstulu</t>
  </si>
  <si>
    <t>Ingresos Financeiros</t>
  </si>
  <si>
    <t>EBIT (Beneficio Antes de Intereses e Impuestos)</t>
  </si>
  <si>
    <t>EBIT (Earnings Before Interests and Taxes)</t>
  </si>
  <si>
    <t>EBIT (Kasum Enne Intresse ja Makse)</t>
  </si>
  <si>
    <t>Amortización do Investimento</t>
  </si>
  <si>
    <t xml:space="preserve">Amortización de la Inversión </t>
  </si>
  <si>
    <t>Amortization of the Investment</t>
  </si>
  <si>
    <t>Investeeringute Amortisatsioon</t>
  </si>
  <si>
    <t>EBITDA (Beneficio Antes de Interes, Impuestos, Depreciaciones y Amotizaciones)</t>
  </si>
  <si>
    <t>EBITDA (Earnings Before Interests, Taxes, Depreciations and Amortizations)</t>
  </si>
  <si>
    <t>EBITDA (Kasum Enne Intresse, Makse, Kulumit ja Amortisatsioone)</t>
  </si>
  <si>
    <t>Total Gastos de Explotación</t>
  </si>
  <si>
    <t>Total Operating Expenses</t>
  </si>
  <si>
    <t>Tegevuskulud Kokku</t>
  </si>
  <si>
    <t>Otros Tributos (Distintos del IS o del IVA)</t>
  </si>
  <si>
    <t>Other Taxes (Different from the Corporate Income Tax or the Value Added Tax)</t>
  </si>
  <si>
    <t>Muud Maksud (Erinevad Ettevõtte Tulumaksust või Käibemaksust)</t>
  </si>
  <si>
    <t>Gastos en Servicios Exteriores</t>
  </si>
  <si>
    <t>External Services Expenses</t>
  </si>
  <si>
    <t>Väliskulud</t>
  </si>
  <si>
    <t>Otros Servicios</t>
  </si>
  <si>
    <t>Other Services</t>
  </si>
  <si>
    <t>Muud Teenused</t>
  </si>
  <si>
    <t>Primas de Seguros</t>
  </si>
  <si>
    <t>Insurance Premiums</t>
  </si>
  <si>
    <t>Kindlustusmaksed</t>
  </si>
  <si>
    <t>Gastos de Persoal</t>
  </si>
  <si>
    <t>Gastos de Personal</t>
  </si>
  <si>
    <t>Human Resources Expenses</t>
  </si>
  <si>
    <t>Personalikulud</t>
  </si>
  <si>
    <t>Compras de Materiales y Servicios</t>
  </si>
  <si>
    <t>Materials and Services Purchases</t>
  </si>
  <si>
    <t>Materjalide ja Teenuste Ostud</t>
  </si>
  <si>
    <t>Total Operating Income</t>
  </si>
  <si>
    <t>Tegevustulu Kokku</t>
  </si>
  <si>
    <t>Subvenciones de Capital Transferidas al Resultado del Ejercicio (Imputación Anual)</t>
  </si>
  <si>
    <t>Capital Grants Transferred to the Financial Year Result (Annual Attribution)</t>
  </si>
  <si>
    <t>Majandusaasta Tulemusele Üle Kantud Kapitalitoetused (Iga-aastane Omistamine)</t>
  </si>
  <si>
    <t>Subvencións de Capital Transferidas ao Resultado do Exercicio (Imputación Anual)</t>
  </si>
  <si>
    <t>Total Ingresos por Cuotas de Socios y Otros Servicios Complementarios</t>
  </si>
  <si>
    <t>Total Income from Membership Fees and Other Complementary Services</t>
  </si>
  <si>
    <t>Kogutulu Liikmemaksudest ja Muudest Täiendavatest Teenustest</t>
  </si>
  <si>
    <t>Ingresos por Prestación de Otros Servicios Complementarios a los Socios</t>
  </si>
  <si>
    <t>Income Deriving from Other Complementary Services provided to the Partners</t>
  </si>
  <si>
    <t>Sissetulekud Muudest Partneritele Pakutavatest Täiendavatest Teenustest</t>
  </si>
  <si>
    <t>Cuotas de Socios</t>
  </si>
  <si>
    <t>Membership Fees</t>
  </si>
  <si>
    <t>Liikmemaksud</t>
  </si>
  <si>
    <t>Ingresos Totales por la Energía Producida</t>
  </si>
  <si>
    <t>Total Income from Energy Produced</t>
  </si>
  <si>
    <t>Kogutulu Toodetud Energiast</t>
  </si>
  <si>
    <t>Vida Completa del Proyecto</t>
  </si>
  <si>
    <t>Complete Project Lifetime</t>
  </si>
  <si>
    <t>Kogu Projekti Eluiga</t>
  </si>
  <si>
    <t>Cummulative Values (Sum)</t>
  </si>
  <si>
    <t>Kumulatiivsed Väärtused (Summa)</t>
  </si>
  <si>
    <t>Ref. 1</t>
  </si>
  <si>
    <t>Viide 1</t>
  </si>
  <si>
    <t>Hipótesis de Partida</t>
  </si>
  <si>
    <t>Starting Hypotheses</t>
  </si>
  <si>
    <t>Hüpoteese Alustades</t>
  </si>
  <si>
    <t>Hipóteses de Partida</t>
  </si>
  <si>
    <t>EXPENSES</t>
  </si>
  <si>
    <t>KULUD</t>
  </si>
  <si>
    <t>INGRESOS</t>
  </si>
  <si>
    <t>INCOME</t>
  </si>
  <si>
    <t>TULUD</t>
  </si>
  <si>
    <t>Conta de Explotación</t>
  </si>
  <si>
    <t>Cuenta de Explotación</t>
  </si>
  <si>
    <t>Operating Account</t>
  </si>
  <si>
    <t>Kauplemiskonto</t>
  </si>
  <si>
    <t>Efecto Económico Neto Total (% s/ Importe da súa Fatura Orixinal)</t>
  </si>
  <si>
    <t>Efecto Económico Neto Total (% s/ Importe de su Factura Original)</t>
  </si>
  <si>
    <t>Total Net Economic Effect (% On the Partner Original Invoice Amount)</t>
  </si>
  <si>
    <t>Netomajanduslik Mõju Kokku (% Partneri Algse Arve Summast)</t>
  </si>
  <si>
    <t>(=) Efecto Económico Neto Total para el Socio (Positivo - Negativo)</t>
  </si>
  <si>
    <t>(=) Total Net Economic Effect for the Partner (Positive - Negative)</t>
  </si>
  <si>
    <t>(=) Kogu Netomajanduslik Mõju Partnerile (Positiivne – Negatiivne)</t>
  </si>
  <si>
    <t>(-) Efecto Económico Negativo Total para el Socio (Cuotas Pagadas a la Entidad)</t>
  </si>
  <si>
    <t>(-) Total Negative Economic Effect for the Partner (Fees Paid to the Entity)</t>
  </si>
  <si>
    <t>(-) Kogu Negatiivne Majanduslik Mõju Partnerile (Üksusele Makstud Tasud)</t>
  </si>
  <si>
    <t>(+) Efecto Económico Positivo Total para o Socio (Menor Importe a Pagar en Fatura + Importe Obtido pola Enerxía Destinada á Compensación ou Venda)</t>
  </si>
  <si>
    <t>(+) Efecto Económico Positivo Total para el Socio (Menor Importe a Pagar en Factura + Importe Obtenido por la Energía Destinada a Compensación o Vendida)</t>
  </si>
  <si>
    <t>(+) Total Positive Economic Effect for the Partner (Lower Invoice Amount to Pay + Positive Amount Obtained for the Energy Subject to Compensation or Sold)</t>
  </si>
  <si>
    <t>(+) Positiivne Majanduslik Mõju Partnerile Kokku (Väiksem Tasumisele Kuuluv Arve Summa + Kompenseeritava või Müüdud Energia Eest Saadud Positiivne Summa)</t>
  </si>
  <si>
    <t>Annual</t>
  </si>
  <si>
    <t>Iga-aastane</t>
  </si>
  <si>
    <t>Monthly</t>
  </si>
  <si>
    <t>Kuu-</t>
  </si>
  <si>
    <t>Consumo Mensual del Consumidor Tipo (KWh/Mes)</t>
  </si>
  <si>
    <t>Monthly Consumption of the Typical Consumer (KWh/Month)</t>
  </si>
  <si>
    <t>Tavatarbija Igakuine Tarbimine (KWh/Kuus)</t>
  </si>
  <si>
    <t>(Se considera un mes tipo, para un consumidor tipo)</t>
  </si>
  <si>
    <t>(A typical month and a typical consumer are considered)</t>
  </si>
  <si>
    <t>(Arvestatakse Tüüpilist Kuud ja Tüüpilist Tarbijat)</t>
  </si>
  <si>
    <t>Determinación del Efecto Económico Neto para el Socio de su Pertenencia a la Iniciativa Energética Comunitaria</t>
  </si>
  <si>
    <t>Determination of the Net Economic Effect for the Partner of Membership in the Community Energy Initiative</t>
  </si>
  <si>
    <t>Majandusliku Netomõju Määramine Ühenduse Energiaalgatuse Partnerile</t>
  </si>
  <si>
    <t>Efecto Económico Positivo Total para el Socio</t>
  </si>
  <si>
    <t>Total Positive Economic Effect for the Partner</t>
  </si>
  <si>
    <t>Täielik Positiivne Majanduslik Mõju Partnerile</t>
  </si>
  <si>
    <t>Exceso do Importe a Aboar sobre o Importe da Fatura</t>
  </si>
  <si>
    <t>Exceso del Importe a Abonar sobre el Importe de la Factura</t>
  </si>
  <si>
    <t>Excess of the Amount to Pay over the Invoice Amount</t>
  </si>
  <si>
    <t>Tasumisele Kuuluva Summa Ülejääk Arve Summa Suhtes</t>
  </si>
  <si>
    <t>Novo Importe A Pagar (Importe da Fatura - Importe a Aboar por Compensación ou Venda de Enerxía)</t>
  </si>
  <si>
    <t>Nuevo Importe a Pagar (Importe de la Factura - Importe a Abonar por Compensación o Venta de Energía)</t>
  </si>
  <si>
    <t>New Amount to Pay (Invoice Amount - Energy Compensation or Sale Amount)</t>
  </si>
  <si>
    <t>Uus Makstav Summa (Arve Summa - Energiakompensatsioon või Müügisumma)</t>
  </si>
  <si>
    <t>Importe a Aboar ao Prosumidor por Compensación ou Venda de Enerxía</t>
  </si>
  <si>
    <t>Importe a Abonar al Prosumidor por Compensación o Venta de Energía</t>
  </si>
  <si>
    <t>Amount to Pay to the Prosumer for the Energy Compensation or the Energy Sale</t>
  </si>
  <si>
    <t>Partnerile Energiakompensatsiooni või Energiamüügi Eest Makstav Summa</t>
  </si>
  <si>
    <t>Valor de la Energía Vendida Transmitida a la Comercializadora</t>
  </si>
  <si>
    <t>Value of the Energy Sold Transmitted to the Energy Marketer</t>
  </si>
  <si>
    <t>Müüdud Energia Väärtus Edastatakse Energiaturundajale</t>
  </si>
  <si>
    <t>Valor de la Energía Sujeta a Compensación Transmitida a la Comercializadora</t>
  </si>
  <si>
    <t>Value of the Energy Subject to Compensation Transmitted to the Energy Marketer</t>
  </si>
  <si>
    <t>Energiaturundajale Edastatud Hüvitamisele Kuuluva Energia Väärtus</t>
  </si>
  <si>
    <t>Compensaciones</t>
  </si>
  <si>
    <t>Energy Compensations</t>
  </si>
  <si>
    <t>Energiakompensatsioonid</t>
  </si>
  <si>
    <t>Importe Total da Fatura (Base Impoñible + Cota de IVE)</t>
  </si>
  <si>
    <t>Importe Total de la Factura (Base Imponible + Cuota del IVA)</t>
  </si>
  <si>
    <t>Total Invoice Amount (VAT Tax Base + VAT Ammount Payable)</t>
  </si>
  <si>
    <t>Arve Kogusumma (Käibemaksubaas + Käibemaksumäär)</t>
  </si>
  <si>
    <t>IVA (Tipo Reducido Temporalmente)</t>
  </si>
  <si>
    <t>VAT (Temporary Reduced Tax Rate)</t>
  </si>
  <si>
    <t>Käibemaks (Ajutine Vähendatud Maksumäär)</t>
  </si>
  <si>
    <t>Base Imponible del IVA (Suma de los Conceptos Previos)</t>
  </si>
  <si>
    <t>VAT Tax Base (Sum of Previous Concepts)</t>
  </si>
  <si>
    <t>Käibemaksu Maksubaas (Eelmiste Mõistete Summa)</t>
  </si>
  <si>
    <t>Subtotal (Suma de los Conceptos Previos)</t>
  </si>
  <si>
    <t>Subtotal (Sum of Previous Concepts)</t>
  </si>
  <si>
    <t xml:space="preserve">Vahesumma </t>
  </si>
  <si>
    <t>Término de Energía (Consumo)</t>
  </si>
  <si>
    <t>Energy Term (Consumption)</t>
  </si>
  <si>
    <t>Energiamõiste (Tarbimine)</t>
  </si>
  <si>
    <t>Diferenza Porcentual sobre o Importe Inicial da Fatura (%)</t>
  </si>
  <si>
    <t>Diferencia Porcentual sobre el Importe Inicial de la Factura (%)</t>
  </si>
  <si>
    <t>Difference as a Proporcion On Initial Invoice Total Amount (%)</t>
  </si>
  <si>
    <t>Erinevus Proportsioonina Esialgse Arve Kogusummast (%)</t>
  </si>
  <si>
    <t>Diferenza (%)</t>
  </si>
  <si>
    <t>Diferencia (%)</t>
  </si>
  <si>
    <t>Difference (%)</t>
  </si>
  <si>
    <t>Erinevus (%)</t>
  </si>
  <si>
    <t>Diferenza</t>
  </si>
  <si>
    <t>Difference</t>
  </si>
  <si>
    <t>Erinevus</t>
  </si>
  <si>
    <t>Con Iniciativa Enerxética Comunitaria (€)</t>
  </si>
  <si>
    <t>Con Iniciativa Energética Comunitaria (€)</t>
  </si>
  <si>
    <t>With a Community Energy Initiative (€)</t>
  </si>
  <si>
    <t>Kogukondliku Energiaalgatusega</t>
  </si>
  <si>
    <t>Sen Iniciativa Enerxética Comunitaria (€)</t>
  </si>
  <si>
    <t>Sin Iniciativa Energética Comunitaria (€)</t>
  </si>
  <si>
    <t>Without a Community Energy Initiative (€)</t>
  </si>
  <si>
    <t>Ilma Kogukonna Energiaalgatuseta</t>
  </si>
  <si>
    <t>Concepto Facturado</t>
  </si>
  <si>
    <t>Invoiced Concept</t>
  </si>
  <si>
    <t>Arveldatud Kontseptsioon</t>
  </si>
  <si>
    <t>Advertising, Propaganda &amp; Public Relations</t>
  </si>
  <si>
    <t>Estimación do Consumo Eléctrico Medio Por Fogar</t>
  </si>
  <si>
    <t>Conxunto de España</t>
  </si>
  <si>
    <t>KWh. ao Mes</t>
  </si>
  <si>
    <t>KWh. ao Ano</t>
  </si>
  <si>
    <t>Consumo Enerxético Medio Por Fogar (KWh.) [Idae, Xullo 2011, pp. 55 a 57 ]</t>
  </si>
  <si>
    <t>Proporción do Consumo Eléctrico s/ Consumo Enerxético en España</t>
  </si>
  <si>
    <t>Consumo Eléctrico Medio Por Fogar (KWh.) en España [Idae, Xullo 2011, pp. 55 a 57]</t>
  </si>
  <si>
    <t>Zona Climática Atlántico Norte</t>
  </si>
  <si>
    <t>Proporción do Consumo Eléctrico s/ Consumo Enerxético Zona Climática A-N.</t>
  </si>
  <si>
    <t>Consumo Eléctrico Medio Por Fogar (KWh.) en Zona Climática Atlántico Norte [Idae, Xullo 2011, pp. 55 a 57]</t>
  </si>
  <si>
    <t>Corrección por Evolución Consumo Enerxético 2010-2022</t>
  </si>
  <si>
    <t>Consumo de Enerxía Final (Só Electricidade) en España (Exc. Usos Non Enerxéticos) (Ktep) [Fonte: Balance Enerxético de España 2021-22, Táboa 1.9]</t>
  </si>
  <si>
    <t>Coeficiente de Corrección (Peso Relativo Consumo 2022 s/ Consumo 2010)</t>
  </si>
  <si>
    <t>Consumo Medio por Fogar (KWh.) en Zona Climática Atlántico Norte, Axustado pola Evolución do Consumo Eléctrico no Período 2010-2022</t>
  </si>
  <si>
    <t>Consumo Estimado para unha Comunidade de 25 Fogares</t>
  </si>
  <si>
    <t>Número de Ano</t>
  </si>
  <si>
    <t>Ano Natural</t>
  </si>
  <si>
    <t>Fondos Propios</t>
  </si>
  <si>
    <t>Débeda</t>
  </si>
  <si>
    <t>Gastos de Constitución</t>
  </si>
  <si>
    <t>Instalacións (Excluído o Inversor)</t>
  </si>
  <si>
    <t>Inversor (Investimento Inicial)</t>
  </si>
  <si>
    <t>Inversor (Renovacións)</t>
  </si>
  <si>
    <t>Ano Inicial</t>
  </si>
  <si>
    <t>Enerxía Producida (KWh)</t>
  </si>
  <si>
    <t>Prezo de Mercado da Electricidade (€/KWh)</t>
  </si>
  <si>
    <t>Prezo Aplicado á Venda da Electricidade (€/KWh)</t>
  </si>
  <si>
    <t>Prezos da Enerxía</t>
  </si>
  <si>
    <t>Consumo Eléctrico Anual Medio de Cada Socio (KWh)</t>
  </si>
  <si>
    <t>Enerxía Autoconsumida (KWh)</t>
  </si>
  <si>
    <t>Enerxía Compensada (KWh)</t>
  </si>
  <si>
    <t>Enerxía Vendida (KWh)</t>
  </si>
  <si>
    <t>Produción Enerxética</t>
  </si>
  <si>
    <t>Tener en cuenta si se está excluyendo o no el valor de la energía producida y transmitida gratuitamente a los socios para su autoconsumo o compensación.</t>
  </si>
  <si>
    <t>Taxa de Desconto a Aplicar para a Actualización dos Fluxos de Efectivo (%)</t>
  </si>
  <si>
    <t>Discount Rate Applicable to the Cash Flows (%)</t>
  </si>
  <si>
    <t>Tasa de Descuento a Aplicar para la Actualización de los Flujos de Efectivo (%)</t>
  </si>
  <si>
    <t>Rahavoogudele Kehtiv Allahindlusmäär (%)</t>
  </si>
  <si>
    <t>Year Number</t>
  </si>
  <si>
    <t>Natural Year</t>
  </si>
  <si>
    <t>Número de Año</t>
  </si>
  <si>
    <t>Año Natural</t>
  </si>
  <si>
    <t>Aasta Number</t>
  </si>
  <si>
    <t>Looduslik Aasta</t>
  </si>
  <si>
    <t>Sissetulek Partnerite Oomatarbimisest Energiast</t>
  </si>
  <si>
    <t>Income from Partners' Self-Consumption of Energy</t>
  </si>
  <si>
    <t>Ingresos por Enerxía Autoconsumida polos Socios</t>
  </si>
  <si>
    <t>Ingresos por Energía Autoconsumida por los Socios</t>
  </si>
  <si>
    <t>Palgad</t>
  </si>
  <si>
    <t>Wages and Salaries</t>
  </si>
  <si>
    <t>Sueldos y Salarios</t>
  </si>
  <si>
    <t>Crédito Fiscal</t>
  </si>
  <si>
    <t>Crédito Fiscal Acumulado</t>
  </si>
  <si>
    <t>Tax Credit</t>
  </si>
  <si>
    <t>Accumulated Tax Credit</t>
  </si>
  <si>
    <t>Kogunenud Maksukrediit</t>
  </si>
  <si>
    <t>Maksukrediit</t>
  </si>
  <si>
    <t>Equity (Partners' Own Capital)</t>
  </si>
  <si>
    <t>Debt</t>
  </si>
  <si>
    <t>Deuda</t>
  </si>
  <si>
    <t>Aktsiakapital (Partnerite Omakapital)</t>
  </si>
  <si>
    <t>Võlg</t>
  </si>
  <si>
    <t>Intitial Year</t>
  </si>
  <si>
    <t>Año Inicial</t>
  </si>
  <si>
    <t>Esialgne Aasta</t>
  </si>
  <si>
    <t>Change in the Year (€)</t>
  </si>
  <si>
    <t>Variación no Ano (€)</t>
  </si>
  <si>
    <t>Variación en el Año (€)</t>
  </si>
  <si>
    <t>Suuruse Muutus Aasta Jooksul (€)</t>
  </si>
  <si>
    <t>Cuota Extraordinaria Inicial (Sólo en el Primer Año)</t>
  </si>
  <si>
    <t>Asutamiskulud</t>
  </si>
  <si>
    <t>Establishment Costs</t>
  </si>
  <si>
    <t>Facilities (Excluding the Energy Inverter)</t>
  </si>
  <si>
    <t>Instalaciones (Excluído el Inversor)</t>
  </si>
  <si>
    <t>Energy Inverter (Initial Investment)</t>
  </si>
  <si>
    <t>Inversor (Inversión Inicial)</t>
  </si>
  <si>
    <t>Energy Inverter (Renewal Investments)</t>
  </si>
  <si>
    <t>Inversor (Renovaciones)</t>
  </si>
  <si>
    <t>Rajatised (Välja Arvatud Energiainverter)</t>
  </si>
  <si>
    <t>Energiainverter (Esialgne Investeering)</t>
  </si>
  <si>
    <t>Energiainverter (Uuendusinvesteeringud)</t>
  </si>
  <si>
    <t>Number of Partners</t>
  </si>
  <si>
    <t>Partnerite Arv</t>
  </si>
  <si>
    <t>Iga Partneri Keskmine Aastane Elektritarbimine (KWh)</t>
  </si>
  <si>
    <t>Average Annual Electricity Consumption of Each Partner (KWh)</t>
  </si>
  <si>
    <t>Energy Production</t>
  </si>
  <si>
    <t>Producción Energética</t>
  </si>
  <si>
    <t>Produced Energy (KWh)</t>
  </si>
  <si>
    <t>Energía Producida (KWh)</t>
  </si>
  <si>
    <t>Energia Tootmine</t>
  </si>
  <si>
    <t>Toodetav Energia (KWh)</t>
  </si>
  <si>
    <t>Energiaga seotud Hüpoteesid</t>
  </si>
  <si>
    <t>Self-Consumed Energy (KWh)</t>
  </si>
  <si>
    <t>Compensated Energy (KWh)</t>
  </si>
  <si>
    <t>Sold Energy (KWh)</t>
  </si>
  <si>
    <t>Energía Autoconsumida (KWh)</t>
  </si>
  <si>
    <t>Energía Vendida (KWh)</t>
  </si>
  <si>
    <t>Energía Compensada (KWh)</t>
  </si>
  <si>
    <t>Energía Vertida a la Red sin Contraprestación Económica (KWh)</t>
  </si>
  <si>
    <t>Enerxía Vertida á Rede sen Contraprestación Económica (KWh)</t>
  </si>
  <si>
    <t>Omatarvitatud Energia (KWh)</t>
  </si>
  <si>
    <t>Kompenseeritud Energia (KWh)</t>
  </si>
  <si>
    <t>Müüdud Energia (KWh)</t>
  </si>
  <si>
    <t>Energy Incorporated to the Grid Without Economic Remuneration (KWh)</t>
  </si>
  <si>
    <t>Võrku Ühendatud Energia Ilma Majandusliku Tasuta (KWh)</t>
  </si>
  <si>
    <t>Energy Prices</t>
  </si>
  <si>
    <t>Precios de la Energía</t>
  </si>
  <si>
    <t>Electricity Market Price (€/KWh)</t>
  </si>
  <si>
    <t>Precio de Mercado de la Electricidad (€/KWh)</t>
  </si>
  <si>
    <t>Price Applied to Compensated Electricity (€/KWh)</t>
  </si>
  <si>
    <t>Precio Aplicado en la Compensación de la Electricidad (€/KWh)</t>
  </si>
  <si>
    <t>Prezo Aplicado na Compensación da Electricidade (€/KWh)</t>
  </si>
  <si>
    <t>Price Applied to Sold Electricity (€/KWh)</t>
  </si>
  <si>
    <t>Precio Aplicado a la Venta de la Electricidad (€/KWh)</t>
  </si>
  <si>
    <t>Energiahinnad</t>
  </si>
  <si>
    <t>Elektrituru Hind (€/KWh)</t>
  </si>
  <si>
    <t>Kompenseeritud Elektri Hind (€/KWh)</t>
  </si>
  <si>
    <t>Müüdud elektri hind (€/KWh)</t>
  </si>
  <si>
    <t>Outros Ingresos dos Socios</t>
  </si>
  <si>
    <t>Otros Ingresos de los Socios</t>
  </si>
  <si>
    <t>Muud Partnerite Poolt Tajutavad Tulud</t>
  </si>
  <si>
    <t>Other Income perceived by the Partners</t>
  </si>
  <si>
    <t>Enerxía Producida Ano Referencia (MWh)</t>
  </si>
  <si>
    <t>Enerxía Autoconsumida Ano Ref. (MWh)</t>
  </si>
  <si>
    <t>Enerxía Excedentaria Vendida no Ano Referencia (MWh)</t>
  </si>
  <si>
    <t>Enerxía Excedentaria Suxeita a Compensación no Ano Referencia (MWh)</t>
  </si>
  <si>
    <t>Average Monthly Electricity Consumption of Each Partner (KWh)</t>
  </si>
  <si>
    <t>Consumo Eléctrico Mensual  Medio de Cada Socio (KWh)</t>
  </si>
  <si>
    <t>Iga Partneri Igakuine Keskmine Elektritarbimine (KWh)</t>
  </si>
  <si>
    <t>Coeficiente de Participación (%)</t>
  </si>
  <si>
    <t>Participation Rate (%)</t>
  </si>
  <si>
    <t>Osaluskoefitsient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</si>
</sst>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8" formatCode="#,##0.00\ &quot;€&quot;;[Red]\-#,##0.00\ &quot;€&quot;"/>
    <numFmt numFmtId="44" formatCode="_-* #,##0.00\ &quot;€&quot;_-;\-* #,##0.00\ &quot;€&quot;_-;_-* &quot;-&quot;??\ &quot;€&quot;_-;_-@_-"/>
    <numFmt numFmtId="43" formatCode="_-* #,##0.00_-;\-* #,##0.00_-;_-* &quot;-&quot;??_-;_-@_-"/>
    <numFmt numFmtId="164" formatCode="_-* #,##0.00\ _€_-;\-* #,##0.00\ _€_-;_-* &quot;-&quot;??\ _€_-;_-@_-"/>
    <numFmt numFmtId="165" formatCode="_-* #,##0\ &quot;€&quot;_-;\-* #,##0\ &quot;€&quot;_-;_-* &quot;-&quot;??\ &quot;€&quot;_-;_-@_-"/>
    <numFmt numFmtId="166" formatCode="_-* #,##0\ _€_-;\-* #,##0\ _€_-;_-* &quot;-&quot;??\ _€_-;_-@_-"/>
    <numFmt numFmtId="167" formatCode="_-* #,##0.0000_-;\-* #,##0.0000_-;_-* &quot;-&quot;??_-;_-@_-"/>
    <numFmt numFmtId="168" formatCode="0.0000"/>
    <numFmt numFmtId="169" formatCode="#,##0.00_ ;\-#,##0.00\ "/>
    <numFmt numFmtId="170" formatCode="0.0%"/>
    <numFmt numFmtId="171" formatCode="#,##0;\-#,##0;\-\-"/>
    <numFmt numFmtId="172" formatCode="#,##0.00_ ;[Red]\-#,##0.00\ "/>
    <numFmt numFmtId="173" formatCode="#,##0_ ;[Red]\-#,##0\ "/>
    <numFmt numFmtId="174" formatCode="#,##0.0_ ;[Red]\-#,##0.0\ "/>
    <numFmt numFmtId="175" formatCode="#,##0.00000_ ;[Red]\-#,##0.00000\ "/>
    <numFmt numFmtId="176" formatCode="#,##0.00\ &quot;€&quot;"/>
    <numFmt numFmtId="177" formatCode="_-* #,##0.000\ &quot;€&quot;_-;\-* #,##0.000\ &quot;€&quot;_-;_-* &quot;-&quot;??\ &quot;€&quot;_-;_-@_-"/>
    <numFmt numFmtId="178" formatCode="_-* #,##0.0000\ &quot;€&quot;_-;\-* #,##0.0000\ &quot;€&quot;_-;_-* &quot;-&quot;??\ &quot;€&quot;_-;_-@_-"/>
    <numFmt numFmtId="179" formatCode="_-* #,##0_-;\-* #,##0_-;_-* &quot;-&quot;??_-;_-@_-"/>
  </numFmts>
  <fonts count="7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Calibri"/>
      <family val="2"/>
      <scheme val="minor"/>
    </font>
    <font>
      <b/>
      <sz val="16"/>
      <color rgb="FF011C2C"/>
      <name val="Calibri"/>
      <family val="2"/>
      <scheme val="minor"/>
    </font>
    <font>
      <b/>
      <sz val="10"/>
      <color rgb="FF011C2C"/>
      <name val="Calibri"/>
      <family val="2"/>
      <scheme val="minor"/>
    </font>
    <font>
      <b/>
      <sz val="10"/>
      <color indexed="9"/>
      <name val="Calibri"/>
      <family val="2"/>
      <scheme val="minor"/>
    </font>
    <font>
      <sz val="10"/>
      <color indexed="9"/>
      <name val="Calibri"/>
      <family val="2"/>
      <scheme val="minor"/>
    </font>
    <font>
      <sz val="10"/>
      <color indexed="12"/>
      <name val="Calibri"/>
      <family val="2"/>
      <scheme val="minor"/>
    </font>
    <font>
      <sz val="10"/>
      <color rgb="FF0000FF"/>
      <name val="Calibri"/>
      <family val="2"/>
      <scheme val="minor"/>
    </font>
    <font>
      <b/>
      <sz val="10"/>
      <name val="Calibri"/>
      <family val="2"/>
      <scheme val="minor"/>
    </font>
    <font>
      <b/>
      <sz val="10"/>
      <color indexed="12"/>
      <name val="Calibri"/>
      <family val="2"/>
      <scheme val="minor"/>
    </font>
    <font>
      <sz val="10"/>
      <color rgb="FFFF0000"/>
      <name val="Calibri"/>
      <family val="2"/>
      <scheme val="minor"/>
    </font>
    <font>
      <sz val="11"/>
      <name val="Calibri"/>
      <family val="2"/>
      <scheme val="minor"/>
    </font>
    <font>
      <sz val="11"/>
      <color theme="5"/>
      <name val="Calibri"/>
      <family val="2"/>
      <scheme val="minor"/>
    </font>
    <font>
      <b/>
      <i/>
      <sz val="11"/>
      <color theme="1"/>
      <name val="Calibri"/>
      <family val="2"/>
      <scheme val="minor"/>
    </font>
    <font>
      <b/>
      <i/>
      <sz val="10"/>
      <name val="Calibri"/>
      <family val="2"/>
      <scheme val="minor"/>
    </font>
    <font>
      <b/>
      <sz val="11"/>
      <color rgb="FF0000FF"/>
      <name val="Calibri"/>
      <family val="2"/>
      <scheme val="minor"/>
    </font>
    <font>
      <b/>
      <sz val="8"/>
      <color indexed="9"/>
      <name val="Calibri"/>
      <family val="2"/>
      <scheme val="minor"/>
    </font>
    <font>
      <b/>
      <sz val="9"/>
      <color indexed="81"/>
      <name val="Tahoma"/>
      <family val="2"/>
    </font>
    <font>
      <sz val="9"/>
      <color indexed="81"/>
      <name val="Tahoma"/>
      <family val="2"/>
    </font>
    <font>
      <i/>
      <sz val="11"/>
      <color theme="1"/>
      <name val="Calibri"/>
      <family val="2"/>
      <scheme val="minor"/>
    </font>
    <font>
      <b/>
      <sz val="11"/>
      <name val="Calibri"/>
      <family val="2"/>
      <scheme val="minor"/>
    </font>
    <font>
      <b/>
      <u/>
      <sz val="11"/>
      <color theme="1"/>
      <name val="Calibri"/>
      <family val="2"/>
      <scheme val="minor"/>
    </font>
    <font>
      <u/>
      <sz val="9"/>
      <color indexed="81"/>
      <name val="Tahoma"/>
      <family val="2"/>
    </font>
    <font>
      <sz val="11"/>
      <color rgb="FF0000FF"/>
      <name val="Calibri"/>
      <family val="2"/>
      <scheme val="minor"/>
    </font>
    <font>
      <b/>
      <i/>
      <sz val="11"/>
      <color rgb="FF0000FF"/>
      <name val="Calibri"/>
      <family val="2"/>
      <scheme val="minor"/>
    </font>
    <font>
      <i/>
      <sz val="11"/>
      <color rgb="FF0000FF"/>
      <name val="Calibri"/>
      <family val="2"/>
      <scheme val="minor"/>
    </font>
    <font>
      <b/>
      <sz val="11"/>
      <color theme="4" tint="-0.249977111117893"/>
      <name val="Calibri"/>
      <family val="2"/>
      <scheme val="minor"/>
    </font>
    <font>
      <b/>
      <sz val="11"/>
      <color theme="0"/>
      <name val="Calibri"/>
      <family val="2"/>
      <scheme val="minor"/>
    </font>
    <font>
      <sz val="11"/>
      <color rgb="FF000000"/>
      <name val="Aptos Narrow"/>
      <charset val="1"/>
    </font>
    <font>
      <sz val="10"/>
      <color theme="1"/>
      <name val="Calibri"/>
      <family val="2"/>
      <scheme val="minor"/>
    </font>
    <font>
      <b/>
      <sz val="10"/>
      <color rgb="FF0000FF"/>
      <name val="Calibri"/>
      <family val="2"/>
      <scheme val="minor"/>
    </font>
    <font>
      <b/>
      <sz val="10"/>
      <color theme="9" tint="-0.249977111117893"/>
      <name val="Calibri"/>
      <family val="2"/>
      <scheme val="minor"/>
    </font>
    <font>
      <sz val="8"/>
      <name val="Calibri"/>
      <family val="2"/>
      <scheme val="minor"/>
    </font>
    <font>
      <sz val="10"/>
      <color rgb="FF00B050"/>
      <name val="Calibri"/>
      <family val="2"/>
      <scheme val="minor"/>
    </font>
    <font>
      <b/>
      <sz val="10"/>
      <color rgb="FF00B050"/>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b/>
      <i/>
      <sz val="11"/>
      <color rgb="FF00B050"/>
      <name val="Calibri"/>
      <family val="2"/>
      <scheme val="minor"/>
    </font>
    <font>
      <sz val="11"/>
      <name val="Aptos Narrow"/>
      <family val="2"/>
    </font>
    <font>
      <sz val="11"/>
      <name val="Aptos Narrow"/>
      <family val="2"/>
      <charset val="1"/>
    </font>
    <font>
      <sz val="11"/>
      <color theme="1"/>
      <name val="Calibri"/>
      <family val="2"/>
    </font>
    <font>
      <sz val="14"/>
      <name val="Calibri"/>
      <family val="2"/>
      <scheme val="minor"/>
    </font>
    <font>
      <b/>
      <sz val="20"/>
      <color rgb="FF011C2C"/>
      <name val="Calibri"/>
      <family val="2"/>
      <scheme val="minor"/>
    </font>
    <font>
      <b/>
      <u/>
      <sz val="10"/>
      <color rgb="FFFFFFFF"/>
      <name val="Calibri"/>
      <family val="2"/>
      <scheme val="minor"/>
    </font>
    <font>
      <sz val="10"/>
      <color rgb="FF00B050"/>
      <name val="Calibri"/>
      <family val="2"/>
    </font>
    <font>
      <b/>
      <sz val="10"/>
      <color rgb="FFFFFFFF"/>
      <name val="Calibri"/>
      <family val="2"/>
    </font>
    <font>
      <b/>
      <u/>
      <sz val="10"/>
      <color rgb="FFFFFFFF"/>
      <name val="Calibri"/>
      <family val="2"/>
    </font>
    <font>
      <b/>
      <sz val="10"/>
      <color theme="1"/>
      <name val="Calibri"/>
      <family val="2"/>
      <scheme val="minor"/>
    </font>
    <font>
      <b/>
      <sz val="11"/>
      <color rgb="FF00B050"/>
      <name val="Calibri"/>
      <family val="2"/>
    </font>
    <font>
      <b/>
      <sz val="9"/>
      <color theme="1"/>
      <name val="Calibri"/>
      <family val="2"/>
      <scheme val="minor"/>
    </font>
    <font>
      <b/>
      <sz val="9"/>
      <color indexed="9"/>
      <name val="Calibri"/>
      <family val="2"/>
      <scheme val="minor"/>
    </font>
    <font>
      <b/>
      <sz val="9.5"/>
      <color theme="1"/>
      <name val="Calibri"/>
      <family val="2"/>
      <scheme val="minor"/>
    </font>
    <font>
      <sz val="10"/>
      <color theme="5" tint="-0.249977111117893"/>
      <name val="Calibri"/>
      <family val="2"/>
      <scheme val="minor"/>
    </font>
    <font>
      <b/>
      <sz val="9.4"/>
      <name val="Calibri"/>
      <family val="2"/>
      <scheme val="minor"/>
    </font>
    <font>
      <b/>
      <u/>
      <sz val="9.4"/>
      <color rgb="FF00B050"/>
      <name val="Calibri"/>
      <family val="2"/>
      <scheme val="minor"/>
    </font>
    <font>
      <b/>
      <sz val="9.4"/>
      <color rgb="FF00B050"/>
      <name val="Calibri"/>
      <family val="2"/>
      <scheme val="minor"/>
    </font>
    <font>
      <b/>
      <sz val="11"/>
      <color theme="1"/>
      <name val="Calibri"/>
      <family val="2"/>
    </font>
    <font>
      <b/>
      <sz val="12"/>
      <color theme="1"/>
      <name val="Calibri"/>
      <family val="2"/>
      <scheme val="minor"/>
    </font>
    <font>
      <sz val="10"/>
      <color theme="1"/>
      <name val="Arial Narrow"/>
      <family val="2"/>
    </font>
    <font>
      <sz val="11"/>
      <color theme="8" tint="-0.249977111117893"/>
      <name val="Calibri"/>
      <family val="2"/>
      <scheme val="minor"/>
    </font>
    <font>
      <b/>
      <u val="singleAccounting"/>
      <sz val="11"/>
      <color theme="1"/>
      <name val="Calibri"/>
      <family val="2"/>
      <scheme val="minor"/>
    </font>
    <font>
      <b/>
      <sz val="11"/>
      <color rgb="FFFF0000"/>
      <name val="Calibri"/>
      <family val="2"/>
      <scheme val="minor"/>
    </font>
    <font>
      <b/>
      <sz val="11"/>
      <color rgb="FF000000"/>
      <name val="Calibri"/>
      <family val="2"/>
    </font>
    <font>
      <sz val="11"/>
      <color rgb="FF000000"/>
      <name val="Calibri"/>
      <family val="2"/>
    </font>
    <font>
      <b/>
      <i/>
      <u val="singleAccounting"/>
      <sz val="11"/>
      <color theme="1"/>
      <name val="Calibri"/>
      <family val="2"/>
      <scheme val="minor"/>
    </font>
    <font>
      <u/>
      <sz val="11"/>
      <color theme="1"/>
      <name val="Calibri"/>
      <family val="2"/>
      <scheme val="minor"/>
    </font>
    <font>
      <sz val="9"/>
      <color theme="1"/>
      <name val="Calibri"/>
      <family val="2"/>
      <scheme val="minor"/>
    </font>
    <font>
      <i/>
      <u val="singleAccounting"/>
      <sz val="11"/>
      <color theme="1"/>
      <name val="Calibri"/>
      <family val="2"/>
      <scheme val="minor"/>
    </font>
    <font>
      <sz val="11"/>
      <color theme="7" tint="-0.249977111117893"/>
      <name val="Calibri"/>
      <family val="2"/>
      <scheme val="minor"/>
    </font>
    <font>
      <sz val="10"/>
      <color rgb="FF7030A0"/>
      <name val="Calibri"/>
      <family val="2"/>
      <scheme val="minor"/>
    </font>
    <font>
      <b/>
      <sz val="10"/>
      <color rgb="FF7030A0"/>
      <name val="Calibri"/>
      <family val="2"/>
      <scheme val="minor"/>
    </font>
    <font>
      <b/>
      <sz val="10"/>
      <color theme="9" tint="-0.499984740745262"/>
      <name val="Calibri"/>
      <family val="2"/>
      <scheme val="minor"/>
    </font>
  </fonts>
  <fills count="34">
    <fill>
      <patternFill patternType="none"/>
    </fill>
    <fill>
      <patternFill patternType="gray125"/>
    </fill>
    <fill>
      <patternFill patternType="solid">
        <fgColor rgb="FF011C2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2F2F2"/>
        <bgColor rgb="FF000000"/>
      </patternFill>
    </fill>
    <fill>
      <patternFill patternType="solid">
        <fgColor rgb="FF011C2C"/>
        <bgColor rgb="FF000000"/>
      </patternFill>
    </fill>
    <fill>
      <patternFill patternType="solid">
        <fgColor theme="4" tint="0.59999389629810485"/>
        <bgColor indexed="64"/>
      </patternFill>
    </fill>
    <fill>
      <patternFill patternType="solid">
        <fgColor theme="6" tint="0.39997558519241921"/>
        <bgColor indexed="64"/>
      </patternFill>
    </fill>
    <fill>
      <patternFill patternType="solid">
        <fgColor rgb="FF143C6F"/>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E8EBF0"/>
        <bgColor indexed="64"/>
      </patternFill>
    </fill>
    <fill>
      <patternFill patternType="solid">
        <fgColor theme="8" tint="0.79998168889431442"/>
        <bgColor indexed="64"/>
      </patternFill>
    </fill>
    <fill>
      <patternFill patternType="solid">
        <fgColor rgb="FFFFC9C9"/>
        <bgColor indexed="64"/>
      </patternFill>
    </fill>
    <fill>
      <patternFill patternType="solid">
        <fgColor rgb="FFDA9694"/>
        <bgColor indexed="64"/>
      </patternFill>
    </fill>
    <fill>
      <patternFill patternType="solid">
        <fgColor rgb="FFE6B8B7"/>
        <bgColor indexed="64"/>
      </patternFill>
    </fill>
  </fills>
  <borders count="35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style="double">
        <color auto="1"/>
      </right>
      <top style="double">
        <color auto="1"/>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diagonal style="thin">
        <color theme="0"/>
      </diagonal>
    </border>
    <border>
      <left style="double">
        <color auto="1"/>
      </left>
      <right/>
      <top/>
      <bottom style="thin">
        <color theme="0"/>
      </bottom>
      <diagonal/>
    </border>
    <border>
      <left style="double">
        <color auto="1"/>
      </left>
      <right/>
      <top style="thin">
        <color theme="0"/>
      </top>
      <bottom style="thin">
        <color theme="0"/>
      </bottom>
      <diagonal/>
    </border>
    <border>
      <left style="double">
        <color auto="1"/>
      </left>
      <right/>
      <top style="thin">
        <color theme="0"/>
      </top>
      <bottom style="double">
        <color auto="1"/>
      </bottom>
      <diagonal/>
    </border>
    <border>
      <left/>
      <right style="double">
        <color auto="1"/>
      </right>
      <top style="thin">
        <color theme="0"/>
      </top>
      <bottom style="double">
        <color auto="1"/>
      </bottom>
      <diagonal/>
    </border>
    <border>
      <left style="double">
        <color auto="1"/>
      </left>
      <right style="thin">
        <color theme="0"/>
      </right>
      <top style="double">
        <color auto="1"/>
      </top>
      <bottom/>
      <diagonal/>
    </border>
    <border>
      <left style="thin">
        <color theme="0"/>
      </left>
      <right style="thin">
        <color theme="0"/>
      </right>
      <top style="double">
        <color auto="1"/>
      </top>
      <bottom/>
      <diagonal/>
    </border>
    <border>
      <left style="thin">
        <color theme="0"/>
      </left>
      <right style="double">
        <color auto="1"/>
      </right>
      <top style="double">
        <color auto="1"/>
      </top>
      <bottom/>
      <diagonal/>
    </border>
    <border>
      <left style="double">
        <color auto="1"/>
      </left>
      <right style="thin">
        <color theme="0"/>
      </right>
      <top style="thin">
        <color theme="0"/>
      </top>
      <bottom style="thin">
        <color theme="0"/>
      </bottom>
      <diagonal/>
    </border>
    <border>
      <left style="thin">
        <color theme="0"/>
      </left>
      <right style="double">
        <color auto="1"/>
      </right>
      <top/>
      <bottom style="thin">
        <color theme="0"/>
      </bottom>
      <diagonal/>
    </border>
    <border>
      <left style="thin">
        <color theme="0"/>
      </left>
      <right style="double">
        <color auto="1"/>
      </right>
      <top style="thin">
        <color theme="0"/>
      </top>
      <bottom style="thin">
        <color theme="0"/>
      </bottom>
      <diagonal/>
    </border>
    <border>
      <left style="double">
        <color auto="1"/>
      </left>
      <right style="thin">
        <color theme="0"/>
      </right>
      <top style="thin">
        <color theme="0"/>
      </top>
      <bottom style="double">
        <color auto="1"/>
      </bottom>
      <diagonal/>
    </border>
    <border>
      <left style="thin">
        <color theme="0"/>
      </left>
      <right style="thin">
        <color theme="0"/>
      </right>
      <top style="thin">
        <color theme="0"/>
      </top>
      <bottom style="double">
        <color auto="1"/>
      </bottom>
      <diagonal/>
    </border>
    <border>
      <left style="thin">
        <color theme="0"/>
      </left>
      <right style="double">
        <color auto="1"/>
      </right>
      <top style="thin">
        <color theme="0"/>
      </top>
      <bottom style="double">
        <color auto="1"/>
      </bottom>
      <diagonal/>
    </border>
    <border>
      <left/>
      <right style="thin">
        <color theme="0"/>
      </right>
      <top style="double">
        <color auto="1"/>
      </top>
      <bottom/>
      <diagonal/>
    </border>
    <border diagonalDown="1">
      <left/>
      <right style="thin">
        <color theme="0"/>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double">
        <color theme="0"/>
      </diagonal>
    </border>
    <border>
      <left/>
      <right style="thin">
        <color theme="0"/>
      </right>
      <top style="thin">
        <color theme="0"/>
      </top>
      <bottom style="double">
        <color auto="1"/>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double">
        <color auto="1"/>
      </left>
      <right style="thin">
        <color theme="0"/>
      </right>
      <top style="thin">
        <color theme="0"/>
      </top>
      <bottom/>
      <diagonal/>
    </border>
    <border diagonalDown="1">
      <left style="thin">
        <color theme="0"/>
      </left>
      <right style="double">
        <color auto="1"/>
      </right>
      <top style="thin">
        <color theme="0"/>
      </top>
      <bottom/>
      <diagonal style="thin">
        <color theme="0"/>
      </diagonal>
    </border>
    <border>
      <left style="double">
        <color auto="1"/>
      </left>
      <right style="thin">
        <color theme="0"/>
      </right>
      <top/>
      <bottom style="double">
        <color auto="1"/>
      </bottom>
      <diagonal/>
    </border>
    <border>
      <left style="thin">
        <color theme="0"/>
      </left>
      <right style="thin">
        <color theme="0"/>
      </right>
      <top/>
      <bottom style="double">
        <color auto="1"/>
      </bottom>
      <diagonal/>
    </border>
    <border>
      <left style="thin">
        <color theme="0"/>
      </left>
      <right style="double">
        <color auto="1"/>
      </right>
      <top/>
      <bottom style="double">
        <color auto="1"/>
      </bottom>
      <diagonal/>
    </border>
    <border>
      <left style="double">
        <color auto="1"/>
      </left>
      <right style="thin">
        <color theme="0"/>
      </right>
      <top/>
      <bottom style="thin">
        <color theme="0"/>
      </bottom>
      <diagonal/>
    </border>
    <border diagonalDown="1">
      <left style="thin">
        <color theme="0"/>
      </left>
      <right style="double">
        <color auto="1"/>
      </right>
      <top style="thin">
        <color theme="0"/>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style="thin">
        <color theme="0"/>
      </right>
      <top style="thin">
        <color theme="0"/>
      </top>
      <bottom style="double">
        <color auto="1"/>
      </bottom>
      <diagonal style="thin">
        <color theme="0"/>
      </diagonal>
    </border>
    <border>
      <left style="double">
        <color auto="1"/>
      </left>
      <right style="double">
        <color auto="1"/>
      </right>
      <top style="medium">
        <color theme="0"/>
      </top>
      <bottom style="double">
        <color auto="1"/>
      </bottom>
      <diagonal/>
    </border>
    <border>
      <left style="double">
        <color indexed="64"/>
      </left>
      <right style="thin">
        <color theme="0"/>
      </right>
      <top style="thin">
        <color theme="0"/>
      </top>
      <bottom style="thin">
        <color indexed="64"/>
      </bottom>
      <diagonal/>
    </border>
    <border>
      <left style="thin">
        <color theme="0"/>
      </left>
      <right style="double">
        <color indexed="64"/>
      </right>
      <top style="thin">
        <color theme="0"/>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right/>
      <top style="double">
        <color indexed="64"/>
      </top>
      <bottom style="double">
        <color theme="0"/>
      </bottom>
      <diagonal/>
    </border>
    <border>
      <left style="thin">
        <color theme="0"/>
      </left>
      <right style="double">
        <color auto="1"/>
      </right>
      <top style="thin">
        <color theme="0"/>
      </top>
      <bottom/>
      <diagonal/>
    </border>
    <border>
      <left style="medium">
        <color theme="0"/>
      </left>
      <right style="double">
        <color auto="1"/>
      </right>
      <top style="medium">
        <color theme="0"/>
      </top>
      <bottom style="double">
        <color auto="1"/>
      </bottom>
      <diagonal/>
    </border>
    <border>
      <left style="double">
        <color indexed="64"/>
      </left>
      <right style="thin">
        <color theme="0"/>
      </right>
      <top style="double">
        <color indexed="64"/>
      </top>
      <bottom style="double">
        <color indexed="64"/>
      </bottom>
      <diagonal/>
    </border>
    <border>
      <left style="double">
        <color indexed="64"/>
      </left>
      <right style="thin">
        <color theme="0"/>
      </right>
      <top style="double">
        <color indexed="64"/>
      </top>
      <bottom style="medium">
        <color theme="0"/>
      </bottom>
      <diagonal/>
    </border>
    <border>
      <left style="thin">
        <color theme="0"/>
      </left>
      <right style="thin">
        <color theme="0"/>
      </right>
      <top style="double">
        <color indexed="64"/>
      </top>
      <bottom style="medium">
        <color theme="0"/>
      </bottom>
      <diagonal/>
    </border>
    <border>
      <left style="double">
        <color auto="1"/>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diagonalDown="1">
      <left style="thin">
        <color theme="0"/>
      </left>
      <right style="thin">
        <color theme="0"/>
      </right>
      <top style="medium">
        <color theme="0"/>
      </top>
      <bottom style="thin">
        <color theme="0"/>
      </bottom>
      <diagonal style="thin">
        <color theme="0"/>
      </diagonal>
    </border>
    <border diagonalDown="1">
      <left style="thin">
        <color theme="0"/>
      </left>
      <right style="thin">
        <color theme="0"/>
      </right>
      <top style="double">
        <color indexed="64"/>
      </top>
      <bottom style="medium">
        <color theme="0"/>
      </bottom>
      <diagonal style="thin">
        <color theme="0"/>
      </diagonal>
    </border>
    <border>
      <left style="thin">
        <color theme="0"/>
      </left>
      <right/>
      <top style="double">
        <color indexed="64"/>
      </top>
      <bottom style="medium">
        <color theme="0"/>
      </bottom>
      <diagonal/>
    </border>
    <border>
      <left style="thin">
        <color theme="0"/>
      </left>
      <right/>
      <top style="thin">
        <color theme="0"/>
      </top>
      <bottom style="medium">
        <color theme="0"/>
      </bottom>
      <diagonal/>
    </border>
    <border>
      <left style="thin">
        <color theme="0"/>
      </left>
      <right/>
      <top style="thin">
        <color theme="0"/>
      </top>
      <bottom style="double">
        <color auto="1"/>
      </bottom>
      <diagonal/>
    </border>
    <border>
      <left style="thin">
        <color theme="0"/>
      </left>
      <right style="thin">
        <color theme="0"/>
      </right>
      <top style="thin">
        <color theme="0"/>
      </top>
      <bottom/>
      <diagonal/>
    </border>
    <border>
      <left style="double">
        <color auto="1"/>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double">
        <color auto="1"/>
      </right>
      <top style="medium">
        <color theme="0"/>
      </top>
      <bottom style="thin">
        <color theme="0"/>
      </bottom>
      <diagonal/>
    </border>
    <border>
      <left style="double">
        <color auto="1"/>
      </left>
      <right style="thin">
        <color theme="0"/>
      </right>
      <top style="double">
        <color auto="1"/>
      </top>
      <bottom style="thin">
        <color theme="0"/>
      </bottom>
      <diagonal/>
    </border>
    <border>
      <left style="thin">
        <color theme="0"/>
      </left>
      <right style="double">
        <color auto="1"/>
      </right>
      <top style="double">
        <color auto="1"/>
      </top>
      <bottom style="thin">
        <color theme="0"/>
      </bottom>
      <diagonal/>
    </border>
    <border>
      <left style="thin">
        <color theme="0"/>
      </left>
      <right style="thin">
        <color theme="0"/>
      </right>
      <top style="medium">
        <color theme="0"/>
      </top>
      <bottom style="medium">
        <color theme="0"/>
      </bottom>
      <diagonal/>
    </border>
    <border>
      <left style="double">
        <color auto="1"/>
      </left>
      <right style="thin">
        <color theme="0"/>
      </right>
      <top style="medium">
        <color theme="0"/>
      </top>
      <bottom style="medium">
        <color theme="0"/>
      </bottom>
      <diagonal/>
    </border>
    <border>
      <left style="thin">
        <color theme="0"/>
      </left>
      <right style="double">
        <color auto="1"/>
      </right>
      <top style="medium">
        <color theme="0"/>
      </top>
      <bottom style="medium">
        <color theme="0"/>
      </bottom>
      <diagonal/>
    </border>
    <border diagonalDown="1">
      <left/>
      <right style="thin">
        <color theme="0"/>
      </right>
      <top/>
      <bottom style="thin">
        <color theme="0"/>
      </bottom>
      <diagonal style="thin">
        <color theme="0"/>
      </diagonal>
    </border>
    <border>
      <left style="double">
        <color auto="1"/>
      </left>
      <right style="double">
        <color auto="1"/>
      </right>
      <top style="medium">
        <color indexed="64"/>
      </top>
      <bottom/>
      <diagonal/>
    </border>
    <border>
      <left style="double">
        <color auto="1"/>
      </left>
      <right style="double">
        <color auto="1"/>
      </right>
      <top style="thin">
        <color indexed="64"/>
      </top>
      <bottom style="double">
        <color auto="1"/>
      </bottom>
      <diagonal/>
    </border>
    <border>
      <left style="double">
        <color auto="1"/>
      </left>
      <right style="double">
        <color auto="1"/>
      </right>
      <top style="double">
        <color auto="1"/>
      </top>
      <bottom style="double">
        <color theme="0"/>
      </bottom>
      <diagonal/>
    </border>
    <border>
      <left style="double">
        <color auto="1"/>
      </left>
      <right style="double">
        <color auto="1"/>
      </right>
      <top style="double">
        <color theme="0"/>
      </top>
      <bottom style="double">
        <color auto="1"/>
      </bottom>
      <diagonal/>
    </border>
    <border>
      <left/>
      <right style="double">
        <color auto="1"/>
      </right>
      <top/>
      <bottom/>
      <diagonal/>
    </border>
    <border>
      <left/>
      <right style="double">
        <color auto="1"/>
      </right>
      <top/>
      <bottom style="double">
        <color auto="1"/>
      </bottom>
      <diagonal/>
    </border>
    <border>
      <left/>
      <right style="thin">
        <color indexed="64"/>
      </right>
      <top/>
      <bottom/>
      <diagonal/>
    </border>
    <border>
      <left style="thin">
        <color indexed="64"/>
      </left>
      <right/>
      <top/>
      <bottom/>
      <diagonal/>
    </border>
    <border>
      <left style="thin">
        <color rgb="FF000000"/>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auto="1"/>
      </right>
      <top style="thin">
        <color auto="1"/>
      </top>
      <bottom style="thin">
        <color theme="0"/>
      </bottom>
      <diagonal/>
    </border>
    <border>
      <left style="thin">
        <color auto="1"/>
      </left>
      <right/>
      <top style="thin">
        <color auto="1"/>
      </top>
      <bottom style="thin">
        <color theme="0"/>
      </bottom>
      <diagonal/>
    </border>
    <border>
      <left style="double">
        <color auto="1"/>
      </left>
      <right style="double">
        <color auto="1"/>
      </right>
      <top style="double">
        <color rgb="FFFFFFFF"/>
      </top>
      <bottom style="double">
        <color auto="1"/>
      </bottom>
      <diagonal/>
    </border>
    <border>
      <left style="thin">
        <color indexed="64"/>
      </left>
      <right style="thin">
        <color indexed="64"/>
      </right>
      <top style="thin">
        <color indexed="64"/>
      </top>
      <bottom style="thin">
        <color indexed="64"/>
      </bottom>
      <diagonal/>
    </border>
    <border>
      <left/>
      <right style="thin">
        <color auto="1"/>
      </right>
      <top style="thin">
        <color theme="0"/>
      </top>
      <bottom style="thin">
        <color auto="1"/>
      </bottom>
      <diagonal/>
    </border>
    <border>
      <left style="thin">
        <color auto="1"/>
      </left>
      <right/>
      <top style="thin">
        <color theme="0"/>
      </top>
      <bottom style="thin">
        <color auto="1"/>
      </bottom>
      <diagonal/>
    </border>
    <border>
      <left style="double">
        <color auto="1"/>
      </left>
      <right style="double">
        <color auto="1"/>
      </right>
      <top style="double">
        <color auto="1"/>
      </top>
      <bottom style="double">
        <color rgb="FFFFFFFF"/>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diagonalDown="1">
      <left style="thin">
        <color auto="1"/>
      </left>
      <right style="thin">
        <color auto="1"/>
      </right>
      <top style="double">
        <color auto="1"/>
      </top>
      <bottom style="double">
        <color auto="1"/>
      </bottom>
      <diagonal style="thin">
        <color auto="1"/>
      </diagonal>
    </border>
    <border>
      <left style="double">
        <color auto="1"/>
      </left>
      <right style="thin">
        <color auto="1"/>
      </right>
      <top style="double">
        <color auto="1"/>
      </top>
      <bottom style="double">
        <color auto="1"/>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theme="0"/>
      </left>
      <right style="thin">
        <color indexed="64"/>
      </right>
      <top/>
      <bottom style="thin">
        <color theme="0"/>
      </bottom>
      <diagonal/>
    </border>
    <border>
      <left style="thin">
        <color theme="0"/>
      </left>
      <right style="thin">
        <color theme="0"/>
      </right>
      <top/>
      <bottom style="medium">
        <color indexed="64"/>
      </bottom>
      <diagonal/>
    </border>
    <border>
      <left/>
      <right style="thin">
        <color theme="0"/>
      </right>
      <top/>
      <bottom style="medium">
        <color indexed="64"/>
      </bottom>
      <diagonal/>
    </border>
    <border>
      <left style="thin">
        <color theme="0"/>
      </left>
      <right style="thin">
        <color indexed="64"/>
      </right>
      <top style="thin">
        <color indexed="64"/>
      </top>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double">
        <color auto="1"/>
      </left>
      <right/>
      <top/>
      <bottom style="double">
        <color auto="1"/>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dotted">
        <color indexed="64"/>
      </top>
      <bottom style="dotted">
        <color indexed="64"/>
      </bottom>
      <diagonal/>
    </border>
    <border>
      <left/>
      <right/>
      <top style="dotted">
        <color auto="1"/>
      </top>
      <bottom style="dotted">
        <color auto="1"/>
      </bottom>
      <diagonal/>
    </border>
    <border>
      <left style="double">
        <color indexed="64"/>
      </left>
      <right style="thin">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double">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right style="double">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uble">
        <color auto="1"/>
      </left>
      <right style="medium">
        <color indexed="64"/>
      </right>
      <top style="double">
        <color auto="1"/>
      </top>
      <bottom style="medium">
        <color indexed="64"/>
      </bottom>
      <diagonal/>
    </border>
    <border>
      <left/>
      <right style="double">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thin">
        <color auto="1"/>
      </bottom>
      <diagonal/>
    </border>
    <border>
      <left/>
      <right style="double">
        <color auto="1"/>
      </right>
      <top style="thin">
        <color auto="1"/>
      </top>
      <bottom style="double">
        <color auto="1"/>
      </bottom>
      <diagonal/>
    </border>
    <border>
      <left/>
      <right/>
      <top style="thin">
        <color indexed="64"/>
      </top>
      <bottom style="medium">
        <color indexed="64"/>
      </bottom>
      <diagonal/>
    </border>
    <border>
      <left/>
      <right/>
      <top style="medium">
        <color auto="1"/>
      </top>
      <bottom style="thin">
        <color auto="1"/>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right/>
      <top style="medium">
        <color indexed="64"/>
      </top>
      <bottom style="medium">
        <color indexed="64"/>
      </bottom>
      <diagonal style="thin">
        <color indexed="64"/>
      </diagonal>
    </border>
    <border diagonalDown="1">
      <left/>
      <right/>
      <top style="thin">
        <color indexed="64"/>
      </top>
      <bottom/>
      <diagonal style="thin">
        <color auto="1"/>
      </diagonal>
    </border>
    <border>
      <left style="double">
        <color indexed="64"/>
      </left>
      <right style="double">
        <color indexed="64"/>
      </right>
      <top style="thin">
        <color indexed="64"/>
      </top>
      <bottom style="thin">
        <color indexed="64"/>
      </bottom>
      <diagonal/>
    </border>
    <border diagonalDown="1">
      <left/>
      <right/>
      <top style="thin">
        <color indexed="64"/>
      </top>
      <bottom style="thin">
        <color indexed="64"/>
      </bottom>
      <diagonal style="thin">
        <color auto="1"/>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auto="1"/>
      </left>
      <right style="thin">
        <color auto="1"/>
      </right>
      <top style="medium">
        <color auto="1"/>
      </top>
      <bottom style="double">
        <color auto="1"/>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top/>
      <bottom/>
      <diagonal style="thin">
        <color auto="1"/>
      </diagonal>
    </border>
    <border>
      <left/>
      <right style="double">
        <color indexed="64"/>
      </right>
      <top style="medium">
        <color indexed="64"/>
      </top>
      <bottom/>
      <diagonal/>
    </border>
    <border>
      <left style="double">
        <color auto="1"/>
      </left>
      <right/>
      <top/>
      <bottom style="medium">
        <color indexed="64"/>
      </bottom>
      <diagonal/>
    </border>
    <border diagonalDown="1">
      <left/>
      <right/>
      <top/>
      <bottom style="double">
        <color auto="1"/>
      </bottom>
      <diagonal style="thin">
        <color auto="1"/>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auto="1"/>
      </right>
      <top style="thick">
        <color indexed="64"/>
      </top>
      <bottom style="double">
        <color indexed="64"/>
      </bottom>
      <diagonal/>
    </border>
    <border>
      <left/>
      <right/>
      <top style="thick">
        <color indexed="64"/>
      </top>
      <bottom style="double">
        <color indexed="64"/>
      </bottom>
      <diagonal/>
    </border>
    <border>
      <left style="double">
        <color indexed="64"/>
      </left>
      <right/>
      <top style="thick">
        <color indexed="64"/>
      </top>
      <bottom style="double">
        <color indexed="64"/>
      </bottom>
      <diagonal/>
    </border>
    <border>
      <left style="double">
        <color auto="1"/>
      </left>
      <right style="double">
        <color auto="1"/>
      </right>
      <top/>
      <bottom style="thick">
        <color auto="1"/>
      </bottom>
      <diagonal/>
    </border>
    <border>
      <left style="double">
        <color auto="1"/>
      </left>
      <right style="double">
        <color auto="1"/>
      </right>
      <top style="thick">
        <color auto="1"/>
      </top>
      <bottom/>
      <diagonal/>
    </border>
    <border>
      <left style="double">
        <color indexed="64"/>
      </left>
      <right style="double">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right style="double">
        <color indexed="64"/>
      </right>
      <top/>
      <bottom style="thin">
        <color indexed="64"/>
      </bottom>
      <diagonal/>
    </border>
    <border>
      <left style="thick">
        <color auto="1"/>
      </left>
      <right/>
      <top style="thick">
        <color auto="1"/>
      </top>
      <bottom style="thick">
        <color auto="1"/>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double">
        <color indexed="64"/>
      </top>
      <bottom style="medium">
        <color indexed="64"/>
      </bottom>
      <diagonal/>
    </border>
    <border>
      <left style="double">
        <color auto="1"/>
      </left>
      <right/>
      <top style="double">
        <color auto="1"/>
      </top>
      <bottom style="medium">
        <color auto="1"/>
      </bottom>
      <diagonal/>
    </border>
    <border>
      <left style="double">
        <color auto="1"/>
      </left>
      <right style="medium">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double">
        <color auto="1"/>
      </left>
      <right style="double">
        <color auto="1"/>
      </right>
      <top style="thin">
        <color indexed="64"/>
      </top>
      <bottom style="medium">
        <color indexed="64"/>
      </bottom>
      <diagonal/>
    </border>
    <border>
      <left style="double">
        <color auto="1"/>
      </left>
      <right style="double">
        <color auto="1"/>
      </right>
      <top style="medium">
        <color indexed="64"/>
      </top>
      <bottom style="thin">
        <color indexed="64"/>
      </bottom>
      <diagonal/>
    </border>
    <border>
      <left/>
      <right/>
      <top style="double">
        <color auto="1"/>
      </top>
      <bottom style="medium">
        <color auto="1"/>
      </bottom>
      <diagonal/>
    </border>
    <border>
      <left/>
      <right/>
      <top/>
      <bottom style="medium">
        <color theme="1"/>
      </bottom>
      <diagonal/>
    </border>
    <border>
      <left/>
      <right/>
      <top style="medium">
        <color theme="1"/>
      </top>
      <bottom/>
      <diagonal/>
    </border>
    <border>
      <left style="medium">
        <color indexed="64"/>
      </left>
      <right style="thin">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medium">
        <color indexed="64"/>
      </top>
      <bottom/>
      <diagonal style="medium">
        <color indexed="64"/>
      </diagonal>
    </border>
    <border diagonalDown="1">
      <left/>
      <right/>
      <top/>
      <bottom style="medium">
        <color indexed="64"/>
      </bottom>
      <diagonal style="thin">
        <color auto="1"/>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ck">
        <color auto="1"/>
      </left>
      <right style="thick">
        <color auto="1"/>
      </right>
      <top style="medium">
        <color auto="1"/>
      </top>
      <bottom style="medium">
        <color auto="1"/>
      </bottom>
      <diagonal/>
    </border>
    <border>
      <left style="double">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thick">
        <color auto="1"/>
      </left>
      <right style="thick">
        <color auto="1"/>
      </right>
      <top style="double">
        <color indexed="64"/>
      </top>
      <bottom/>
      <diagonal/>
    </border>
    <border>
      <left style="double">
        <color indexed="64"/>
      </left>
      <right style="medium">
        <color indexed="64"/>
      </right>
      <top/>
      <bottom style="double">
        <color auto="1"/>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right style="double">
        <color indexed="64"/>
      </right>
      <top style="medium">
        <color auto="1"/>
      </top>
      <bottom style="double">
        <color auto="1"/>
      </bottom>
      <diagonal/>
    </border>
    <border>
      <left/>
      <right/>
      <top style="medium">
        <color auto="1"/>
      </top>
      <bottom style="double">
        <color auto="1"/>
      </bottom>
      <diagonal/>
    </border>
    <border>
      <left style="medium">
        <color indexed="64"/>
      </left>
      <right/>
      <top style="medium">
        <color auto="1"/>
      </top>
      <bottom style="double">
        <color auto="1"/>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medium">
        <color indexed="64"/>
      </top>
      <bottom style="double">
        <color indexed="64"/>
      </bottom>
      <diagonal/>
    </border>
    <border>
      <left style="medium">
        <color indexed="64"/>
      </left>
      <right style="double">
        <color auto="1"/>
      </right>
      <top style="medium">
        <color indexed="64"/>
      </top>
      <bottom style="thin">
        <color indexed="64"/>
      </bottom>
      <diagonal/>
    </border>
    <border>
      <left style="medium">
        <color indexed="64"/>
      </left>
      <right style="double">
        <color auto="1"/>
      </right>
      <top style="thin">
        <color indexed="64"/>
      </top>
      <bottom style="thin">
        <color indexed="64"/>
      </bottom>
      <diagonal/>
    </border>
    <border>
      <left style="medium">
        <color indexed="64"/>
      </left>
      <right style="double">
        <color auto="1"/>
      </right>
      <top style="thin">
        <color indexed="64"/>
      </top>
      <bottom/>
      <diagonal/>
    </border>
    <border>
      <left style="medium">
        <color indexed="64"/>
      </left>
      <right style="double">
        <color auto="1"/>
      </right>
      <top style="medium">
        <color auto="1"/>
      </top>
      <bottom style="double">
        <color auto="1"/>
      </bottom>
      <diagonal/>
    </border>
    <border>
      <left style="medium">
        <color indexed="64"/>
      </left>
      <right style="double">
        <color auto="1"/>
      </right>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style="double">
        <color auto="1"/>
      </right>
      <top style="thin">
        <color indexed="64"/>
      </top>
      <bottom style="medium">
        <color indexed="64"/>
      </bottom>
      <diagonal/>
    </border>
    <border>
      <left style="medium">
        <color indexed="64"/>
      </left>
      <right style="double">
        <color auto="1"/>
      </right>
      <top style="thin">
        <color indexed="64"/>
      </top>
      <bottom style="double">
        <color auto="1"/>
      </bottom>
      <diagonal/>
    </border>
    <border>
      <left/>
      <right style="double">
        <color auto="1"/>
      </right>
      <top style="double">
        <color auto="1"/>
      </top>
      <bottom style="thin">
        <color theme="0"/>
      </bottom>
      <diagonal/>
    </border>
    <border>
      <left/>
      <right style="double">
        <color auto="1"/>
      </right>
      <top/>
      <bottom style="thin">
        <color theme="0"/>
      </bottom>
      <diagonal/>
    </border>
    <border>
      <left style="thin">
        <color theme="0"/>
      </left>
      <right style="thin">
        <color auto="1"/>
      </right>
      <top style="double">
        <color auto="1"/>
      </top>
      <bottom style="thin">
        <color theme="0"/>
      </bottom>
      <diagonal/>
    </border>
    <border>
      <left style="double">
        <color auto="1"/>
      </left>
      <right/>
      <top style="thin">
        <color theme="0"/>
      </top>
      <bottom/>
      <diagonal/>
    </border>
    <border>
      <left style="double">
        <color auto="1"/>
      </left>
      <right/>
      <top style="medium">
        <color theme="0"/>
      </top>
      <bottom style="thin">
        <color theme="0"/>
      </bottom>
      <diagonal/>
    </border>
    <border>
      <left style="double">
        <color auto="1"/>
      </left>
      <right/>
      <top style="medium">
        <color theme="0"/>
      </top>
      <bottom style="medium">
        <color theme="0"/>
      </bottom>
      <diagonal/>
    </border>
    <border>
      <left/>
      <right style="thin">
        <color theme="0"/>
      </right>
      <top style="thin">
        <color theme="0"/>
      </top>
      <bottom/>
      <diagonal/>
    </border>
    <border>
      <left/>
      <right style="thin">
        <color theme="0"/>
      </right>
      <top style="medium">
        <color theme="0"/>
      </top>
      <bottom style="thin">
        <color theme="0"/>
      </bottom>
      <diagonal/>
    </border>
    <border>
      <left/>
      <right style="thin">
        <color theme="0"/>
      </right>
      <top style="medium">
        <color theme="0"/>
      </top>
      <bottom style="medium">
        <color theme="0"/>
      </bottom>
      <diagonal/>
    </border>
    <border>
      <left/>
      <right style="thin">
        <color theme="0"/>
      </right>
      <top/>
      <bottom style="thin">
        <color theme="0"/>
      </bottom>
      <diagonal/>
    </border>
    <border>
      <left style="double">
        <color auto="1"/>
      </left>
      <right/>
      <top style="thin">
        <color auto="1"/>
      </top>
      <bottom style="medium">
        <color theme="0"/>
      </bottom>
      <diagonal/>
    </border>
    <border>
      <left/>
      <right style="thin">
        <color theme="0"/>
      </right>
      <top style="thin">
        <color auto="1"/>
      </top>
      <bottom style="medium">
        <color theme="0"/>
      </bottom>
      <diagonal/>
    </border>
    <border>
      <left style="double">
        <color auto="1"/>
      </left>
      <right/>
      <top style="thin">
        <color theme="0"/>
      </top>
      <bottom style="thin">
        <color auto="1"/>
      </bottom>
      <diagonal/>
    </border>
    <border>
      <left/>
      <right style="thin">
        <color theme="0"/>
      </right>
      <top style="medium">
        <color theme="0"/>
      </top>
      <bottom style="thin">
        <color auto="1"/>
      </bottom>
      <diagonal/>
    </border>
    <border>
      <left style="double">
        <color auto="1"/>
      </left>
      <right/>
      <top style="thin">
        <color auto="1"/>
      </top>
      <bottom style="thin">
        <color theme="0"/>
      </bottom>
      <diagonal/>
    </border>
    <border>
      <left/>
      <right/>
      <top style="thin">
        <color indexed="64"/>
      </top>
      <bottom style="medium">
        <color theme="0"/>
      </bottom>
      <diagonal/>
    </border>
    <border>
      <left/>
      <right style="double">
        <color indexed="64"/>
      </right>
      <top style="thin">
        <color indexed="64"/>
      </top>
      <bottom style="medium">
        <color theme="0"/>
      </bottom>
      <diagonal/>
    </border>
    <border>
      <left style="double">
        <color indexed="64"/>
      </left>
      <right/>
      <top style="medium">
        <color theme="0"/>
      </top>
      <bottom style="thin">
        <color indexed="64"/>
      </bottom>
      <diagonal/>
    </border>
    <border>
      <left/>
      <right/>
      <top style="medium">
        <color theme="0"/>
      </top>
      <bottom style="thin">
        <color indexed="64"/>
      </bottom>
      <diagonal/>
    </border>
    <border>
      <left/>
      <right style="double">
        <color indexed="64"/>
      </right>
      <top style="medium">
        <color theme="0"/>
      </top>
      <bottom style="thin">
        <color indexed="64"/>
      </bottom>
      <diagonal/>
    </border>
    <border>
      <left/>
      <right/>
      <top style="medium">
        <color theme="0"/>
      </top>
      <bottom style="medium">
        <color theme="0"/>
      </bottom>
      <diagonal/>
    </border>
    <border>
      <left/>
      <right style="double">
        <color indexed="64"/>
      </right>
      <top style="medium">
        <color theme="0"/>
      </top>
      <bottom style="medium">
        <color theme="0"/>
      </bottom>
      <diagonal/>
    </border>
    <border>
      <left style="double">
        <color auto="1"/>
      </left>
      <right style="medium">
        <color theme="0"/>
      </right>
      <top style="double">
        <color auto="1"/>
      </top>
      <bottom style="double">
        <color auto="1"/>
      </bottom>
      <diagonal/>
    </border>
    <border>
      <left style="medium">
        <color theme="0"/>
      </left>
      <right style="medium">
        <color theme="0"/>
      </right>
      <top style="double">
        <color auto="1"/>
      </top>
      <bottom style="double">
        <color auto="1"/>
      </bottom>
      <diagonal/>
    </border>
    <border>
      <left style="medium">
        <color theme="0"/>
      </left>
      <right style="double">
        <color auto="1"/>
      </right>
      <top style="double">
        <color auto="1"/>
      </top>
      <bottom style="double">
        <color auto="1"/>
      </bottom>
      <diagonal/>
    </border>
    <border>
      <left style="double">
        <color auto="1"/>
      </left>
      <right style="medium">
        <color theme="0"/>
      </right>
      <top style="double">
        <color auto="1"/>
      </top>
      <bottom style="medium">
        <color theme="0"/>
      </bottom>
      <diagonal/>
    </border>
    <border>
      <left style="medium">
        <color theme="0"/>
      </left>
      <right style="medium">
        <color theme="0"/>
      </right>
      <top style="double">
        <color auto="1"/>
      </top>
      <bottom style="medium">
        <color theme="0"/>
      </bottom>
      <diagonal/>
    </border>
    <border>
      <left style="medium">
        <color theme="0"/>
      </left>
      <right style="double">
        <color auto="1"/>
      </right>
      <top style="double">
        <color auto="1"/>
      </top>
      <bottom style="medium">
        <color theme="0"/>
      </bottom>
      <diagonal/>
    </border>
    <border>
      <left style="double">
        <color auto="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auto="1"/>
      </right>
      <top style="medium">
        <color theme="0"/>
      </top>
      <bottom style="medium">
        <color theme="0"/>
      </bottom>
      <diagonal/>
    </border>
    <border>
      <left style="double">
        <color auto="1"/>
      </left>
      <right style="medium">
        <color theme="0"/>
      </right>
      <top style="medium">
        <color theme="0"/>
      </top>
      <bottom style="double">
        <color auto="1"/>
      </bottom>
      <diagonal/>
    </border>
    <border>
      <left style="medium">
        <color theme="0"/>
      </left>
      <right style="medium">
        <color theme="0"/>
      </right>
      <top style="medium">
        <color theme="0"/>
      </top>
      <bottom style="double">
        <color auto="1"/>
      </bottom>
      <diagonal/>
    </border>
    <border>
      <left style="double">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double">
        <color auto="1"/>
      </right>
      <top style="medium">
        <color theme="0"/>
      </top>
      <bottom/>
      <diagonal/>
    </border>
    <border>
      <left style="medium">
        <color theme="0"/>
      </left>
      <right style="double">
        <color auto="1"/>
      </right>
      <top/>
      <bottom style="double">
        <color auto="1"/>
      </bottom>
      <diagonal/>
    </border>
    <border>
      <left/>
      <right style="double">
        <color auto="1"/>
      </right>
      <top style="double">
        <color auto="1"/>
      </top>
      <bottom style="medium">
        <color theme="0"/>
      </bottom>
      <diagonal/>
    </border>
    <border>
      <left/>
      <right/>
      <top style="double">
        <color auto="1"/>
      </top>
      <bottom style="medium">
        <color theme="0"/>
      </bottom>
      <diagonal/>
    </border>
    <border>
      <left/>
      <right/>
      <top style="medium">
        <color theme="0"/>
      </top>
      <bottom style="double">
        <color auto="1"/>
      </bottom>
      <diagonal/>
    </border>
    <border>
      <left/>
      <right style="double">
        <color auto="1"/>
      </right>
      <top style="medium">
        <color theme="0"/>
      </top>
      <bottom style="double">
        <color auto="1"/>
      </bottom>
      <diagonal/>
    </border>
    <border>
      <left style="medium">
        <color theme="0"/>
      </left>
      <right/>
      <top style="double">
        <color indexed="64"/>
      </top>
      <bottom style="medium">
        <color theme="0"/>
      </bottom>
      <diagonal/>
    </border>
    <border>
      <left style="medium">
        <color theme="0"/>
      </left>
      <right/>
      <top style="medium">
        <color theme="0"/>
      </top>
      <bottom style="double">
        <color auto="1"/>
      </bottom>
      <diagonal/>
    </border>
    <border>
      <left style="double">
        <color auto="1"/>
      </left>
      <right/>
      <top style="double">
        <color auto="1"/>
      </top>
      <bottom style="medium">
        <color theme="0"/>
      </bottom>
      <diagonal/>
    </border>
    <border>
      <left style="double">
        <color auto="1"/>
      </left>
      <right/>
      <top style="medium">
        <color theme="0"/>
      </top>
      <bottom style="double">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cellStyleXfs>
  <cellXfs count="1958">
    <xf numFmtId="0" fontId="0" fillId="0" borderId="0" xfId="0"/>
    <xf numFmtId="0" fontId="5" fillId="0" borderId="0" xfId="4" applyFont="1" applyAlignment="1">
      <alignment vertical="center"/>
    </xf>
    <xf numFmtId="0" fontId="6" fillId="0" borderId="0" xfId="5" applyFont="1" applyAlignment="1">
      <alignment horizontal="left" vertical="center"/>
    </xf>
    <xf numFmtId="10" fontId="5" fillId="0" borderId="0" xfId="3" applyNumberFormat="1" applyFont="1" applyAlignment="1">
      <alignment vertical="center"/>
    </xf>
    <xf numFmtId="0" fontId="2" fillId="0" borderId="0" xfId="0" applyFont="1"/>
    <xf numFmtId="0" fontId="14" fillId="0" borderId="0" xfId="4" applyFont="1" applyAlignment="1">
      <alignment vertical="center"/>
    </xf>
    <xf numFmtId="164" fontId="0" fillId="0" borderId="0" xfId="0" applyNumberFormat="1"/>
    <xf numFmtId="10" fontId="5" fillId="0" borderId="0" xfId="4" applyNumberFormat="1" applyFont="1" applyAlignment="1">
      <alignment vertical="center"/>
    </xf>
    <xf numFmtId="0" fontId="23" fillId="0" borderId="0" xfId="0" applyFont="1"/>
    <xf numFmtId="44" fontId="0" fillId="0" borderId="0" xfId="2" applyFont="1" applyBorder="1"/>
    <xf numFmtId="0" fontId="0" fillId="0" borderId="0" xfId="0" applyAlignment="1">
      <alignment vertical="center"/>
    </xf>
    <xf numFmtId="44" fontId="17" fillId="0" borderId="0" xfId="2" applyFont="1" applyBorder="1"/>
    <xf numFmtId="44" fontId="0" fillId="0" borderId="0" xfId="2" applyFont="1"/>
    <xf numFmtId="0" fontId="3" fillId="0" borderId="0" xfId="0" applyFont="1"/>
    <xf numFmtId="0" fontId="24" fillId="0" borderId="0" xfId="0" applyFont="1"/>
    <xf numFmtId="0" fontId="8" fillId="0" borderId="0" xfId="4" applyFont="1" applyAlignment="1">
      <alignment vertical="center"/>
    </xf>
    <xf numFmtId="0" fontId="12" fillId="0" borderId="0" xfId="7" applyNumberFormat="1" applyFont="1" applyFill="1" applyBorder="1" applyAlignment="1" applyProtection="1">
      <alignment horizontal="center" vertical="center"/>
    </xf>
    <xf numFmtId="0" fontId="10" fillId="0" borderId="0" xfId="7" applyNumberFormat="1" applyFont="1" applyFill="1" applyBorder="1" applyAlignment="1" applyProtection="1">
      <alignment horizontal="center" vertical="center"/>
    </xf>
    <xf numFmtId="44" fontId="5" fillId="0" borderId="0" xfId="3" applyNumberFormat="1" applyFont="1" applyFill="1" applyBorder="1" applyAlignment="1">
      <alignment horizontal="center" vertical="center"/>
    </xf>
    <xf numFmtId="0" fontId="5" fillId="0" borderId="0" xfId="4" applyFont="1" applyAlignment="1">
      <alignment horizontal="left" vertical="center"/>
    </xf>
    <xf numFmtId="0" fontId="5" fillId="0" borderId="0" xfId="4" applyFont="1" applyAlignment="1" applyProtection="1">
      <alignment horizontal="center" vertical="center"/>
      <protection locked="0"/>
    </xf>
    <xf numFmtId="0" fontId="5" fillId="0" borderId="0" xfId="7" applyNumberFormat="1" applyFont="1" applyFill="1" applyBorder="1" applyAlignment="1" applyProtection="1">
      <alignment horizontal="center" vertical="center"/>
      <protection locked="0"/>
    </xf>
    <xf numFmtId="44" fontId="5" fillId="0" borderId="0" xfId="7" applyNumberFormat="1" applyFont="1" applyFill="1" applyBorder="1" applyAlignment="1" applyProtection="1">
      <alignment horizontal="center" vertical="center"/>
      <protection locked="0"/>
    </xf>
    <xf numFmtId="0" fontId="9" fillId="0" borderId="0" xfId="0" applyFont="1" applyAlignment="1">
      <alignment vertical="center"/>
    </xf>
    <xf numFmtId="0" fontId="16" fillId="0" borderId="0" xfId="0" applyFont="1"/>
    <xf numFmtId="164" fontId="3" fillId="0" borderId="0" xfId="0" applyNumberFormat="1" applyFont="1"/>
    <xf numFmtId="0" fontId="8" fillId="0" borderId="0" xfId="4" applyFont="1" applyAlignment="1">
      <alignment vertical="center" wrapText="1"/>
    </xf>
    <xf numFmtId="0" fontId="8" fillId="0" borderId="0" xfId="0" applyFont="1" applyAlignment="1">
      <alignment horizontal="center" vertical="center"/>
    </xf>
    <xf numFmtId="164" fontId="0" fillId="0" borderId="0" xfId="7" applyFont="1" applyFill="1" applyBorder="1"/>
    <xf numFmtId="164" fontId="0" fillId="0" borderId="0" xfId="7" applyFont="1" applyFill="1" applyBorder="1" applyAlignment="1">
      <alignment vertical="center"/>
    </xf>
    <xf numFmtId="0" fontId="5" fillId="0" borderId="0" xfId="4" applyFont="1" applyAlignment="1">
      <alignment horizontal="left" vertical="center" wrapText="1"/>
    </xf>
    <xf numFmtId="164" fontId="5" fillId="0" borderId="0" xfId="7" applyFont="1" applyFill="1" applyBorder="1" applyAlignment="1">
      <alignment horizontal="center" vertical="center"/>
    </xf>
    <xf numFmtId="0" fontId="0" fillId="0" borderId="0" xfId="0" applyAlignment="1">
      <alignment wrapText="1"/>
    </xf>
    <xf numFmtId="164" fontId="16" fillId="0" borderId="0" xfId="0" applyNumberFormat="1" applyFont="1" applyAlignment="1">
      <alignment vertical="center"/>
    </xf>
    <xf numFmtId="166" fontId="3" fillId="0" borderId="0" xfId="0" applyNumberFormat="1" applyFont="1"/>
    <xf numFmtId="10" fontId="5" fillId="0" borderId="0" xfId="3" applyNumberFormat="1" applyFont="1" applyFill="1" applyBorder="1" applyAlignment="1">
      <alignment horizontal="center" vertical="center"/>
    </xf>
    <xf numFmtId="166" fontId="0" fillId="0" borderId="0" xfId="0" applyNumberFormat="1"/>
    <xf numFmtId="9" fontId="0" fillId="0" borderId="0" xfId="3" applyFont="1" applyFill="1" applyBorder="1"/>
    <xf numFmtId="9" fontId="0" fillId="0" borderId="0" xfId="0" applyNumberFormat="1"/>
    <xf numFmtId="9" fontId="15" fillId="0" borderId="0" xfId="3" applyFont="1" applyFill="1" applyBorder="1"/>
    <xf numFmtId="44" fontId="10" fillId="0" borderId="0" xfId="3" applyNumberFormat="1" applyFont="1" applyFill="1" applyBorder="1" applyAlignment="1">
      <alignment horizontal="center" vertical="center"/>
    </xf>
    <xf numFmtId="0" fontId="12" fillId="0" borderId="0" xfId="4" applyFont="1" applyAlignment="1">
      <alignment horizontal="left" vertical="center"/>
    </xf>
    <xf numFmtId="10" fontId="12" fillId="0" borderId="0" xfId="3" applyNumberFormat="1" applyFont="1" applyFill="1" applyBorder="1" applyAlignment="1">
      <alignment horizontal="center" vertical="center"/>
    </xf>
    <xf numFmtId="10" fontId="5" fillId="0" borderId="0" xfId="3" applyNumberFormat="1" applyFont="1" applyFill="1" applyBorder="1" applyAlignment="1">
      <alignment vertical="center"/>
    </xf>
    <xf numFmtId="0" fontId="7" fillId="0" borderId="0" xfId="4" applyFont="1" applyAlignment="1">
      <alignment horizontal="right" vertical="center"/>
    </xf>
    <xf numFmtId="0" fontId="7" fillId="0" borderId="0" xfId="4" applyFont="1" applyAlignment="1">
      <alignment horizontal="center" vertical="center"/>
    </xf>
    <xf numFmtId="0" fontId="19" fillId="0" borderId="0" xfId="0" applyFont="1" applyAlignment="1">
      <alignment horizontal="center" vertical="center"/>
    </xf>
    <xf numFmtId="0" fontId="20" fillId="0" borderId="0" xfId="4" applyFont="1" applyAlignment="1">
      <alignment vertical="center"/>
    </xf>
    <xf numFmtId="44" fontId="19" fillId="0" borderId="0" xfId="2" applyFont="1" applyFill="1" applyBorder="1" applyAlignment="1">
      <alignment horizontal="center" vertical="center"/>
    </xf>
    <xf numFmtId="165" fontId="5" fillId="0" borderId="0" xfId="4" applyNumberFormat="1" applyFont="1" applyAlignment="1" applyProtection="1">
      <alignment horizontal="center" vertical="center"/>
      <protection locked="0"/>
    </xf>
    <xf numFmtId="43" fontId="10" fillId="3" borderId="1" xfId="1" applyFont="1" applyFill="1" applyBorder="1" applyAlignment="1">
      <alignment horizontal="center" vertical="center"/>
    </xf>
    <xf numFmtId="44" fontId="17" fillId="0" borderId="0" xfId="2" applyFont="1" applyFill="1" applyBorder="1"/>
    <xf numFmtId="0" fontId="18" fillId="3" borderId="12" xfId="4" applyFont="1" applyFill="1" applyBorder="1" applyAlignment="1">
      <alignment vertical="center"/>
    </xf>
    <xf numFmtId="43" fontId="11" fillId="3" borderId="1" xfId="1" applyFont="1" applyFill="1" applyBorder="1" applyAlignment="1">
      <alignment horizontal="center" vertical="center"/>
    </xf>
    <xf numFmtId="44" fontId="0" fillId="0" borderId="0" xfId="2" applyFont="1" applyFill="1" applyBorder="1"/>
    <xf numFmtId="0" fontId="8" fillId="0" borderId="0" xfId="4" applyFont="1" applyAlignment="1">
      <alignment horizontal="center" vertical="center"/>
    </xf>
    <xf numFmtId="44" fontId="17" fillId="0" borderId="0" xfId="2" applyFont="1" applyFill="1" applyBorder="1" applyAlignment="1">
      <alignment vertical="center"/>
    </xf>
    <xf numFmtId="44" fontId="23" fillId="0" borderId="0" xfId="2" applyFont="1" applyFill="1" applyBorder="1"/>
    <xf numFmtId="44" fontId="17" fillId="0" borderId="0" xfId="0" applyNumberFormat="1" applyFont="1"/>
    <xf numFmtId="44" fontId="3" fillId="0" borderId="0" xfId="2" applyFont="1" applyFill="1" applyBorder="1"/>
    <xf numFmtId="0" fontId="8" fillId="2" borderId="3"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5" xfId="4" applyFont="1" applyFill="1" applyBorder="1" applyAlignment="1">
      <alignment horizontal="center" vertical="center"/>
    </xf>
    <xf numFmtId="0" fontId="17"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2" borderId="5" xfId="4" applyFont="1" applyFill="1" applyBorder="1" applyAlignment="1">
      <alignment vertical="center"/>
    </xf>
    <xf numFmtId="0" fontId="17" fillId="3" borderId="13" xfId="0" applyFont="1" applyFill="1" applyBorder="1"/>
    <xf numFmtId="0" fontId="17" fillId="3" borderId="14" xfId="0" applyFont="1" applyFill="1" applyBorder="1"/>
    <xf numFmtId="0" fontId="23" fillId="3" borderId="14" xfId="0" applyFont="1" applyFill="1" applyBorder="1"/>
    <xf numFmtId="0" fontId="17" fillId="3" borderId="14" xfId="0" applyFont="1" applyFill="1" applyBorder="1" applyAlignment="1">
      <alignment vertical="center" wrapText="1"/>
    </xf>
    <xf numFmtId="0" fontId="23" fillId="3" borderId="14" xfId="0" applyFont="1" applyFill="1" applyBorder="1" applyAlignment="1">
      <alignment wrapText="1"/>
    </xf>
    <xf numFmtId="0" fontId="23" fillId="3" borderId="15" xfId="0" applyFont="1" applyFill="1" applyBorder="1"/>
    <xf numFmtId="0" fontId="8" fillId="2" borderId="17"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9" xfId="4" applyFont="1" applyFill="1" applyBorder="1" applyAlignment="1">
      <alignment horizontal="center" vertical="center"/>
    </xf>
    <xf numFmtId="0" fontId="23" fillId="3" borderId="20" xfId="0" applyFont="1" applyFill="1" applyBorder="1"/>
    <xf numFmtId="44" fontId="27" fillId="3" borderId="21" xfId="2" applyFont="1" applyFill="1" applyBorder="1" applyAlignment="1">
      <alignment horizontal="center" vertical="center"/>
    </xf>
    <xf numFmtId="44" fontId="27" fillId="3" borderId="1" xfId="2" applyFont="1" applyFill="1" applyBorder="1" applyAlignment="1">
      <alignment horizontal="center" vertical="center"/>
    </xf>
    <xf numFmtId="0" fontId="23" fillId="3" borderId="23" xfId="0" applyFont="1" applyFill="1" applyBorder="1"/>
    <xf numFmtId="44" fontId="27" fillId="3" borderId="25" xfId="2" applyFont="1" applyFill="1" applyBorder="1" applyAlignment="1">
      <alignment horizontal="center" vertical="center"/>
    </xf>
    <xf numFmtId="0" fontId="8" fillId="2" borderId="26" xfId="4" applyFont="1" applyFill="1" applyBorder="1" applyAlignment="1">
      <alignment horizontal="center" vertical="center"/>
    </xf>
    <xf numFmtId="0" fontId="28" fillId="3" borderId="27" xfId="0" applyFont="1" applyFill="1" applyBorder="1"/>
    <xf numFmtId="44" fontId="28" fillId="3" borderId="28" xfId="0" applyNumberFormat="1" applyFont="1" applyFill="1" applyBorder="1"/>
    <xf numFmtId="44" fontId="27" fillId="3" borderId="22" xfId="2" applyFont="1" applyFill="1" applyBorder="1"/>
    <xf numFmtId="44" fontId="28" fillId="3" borderId="29" xfId="2" applyFont="1" applyFill="1" applyBorder="1"/>
    <xf numFmtId="0" fontId="28" fillId="3" borderId="28" xfId="0" applyFont="1" applyFill="1" applyBorder="1"/>
    <xf numFmtId="43" fontId="27" fillId="3" borderId="30" xfId="1" applyFont="1" applyFill="1" applyBorder="1" applyAlignment="1">
      <alignment vertical="center"/>
    </xf>
    <xf numFmtId="44" fontId="27" fillId="3" borderId="25" xfId="2" applyFont="1" applyFill="1" applyBorder="1"/>
    <xf numFmtId="0" fontId="27" fillId="3" borderId="1" xfId="0" applyFont="1" applyFill="1" applyBorder="1"/>
    <xf numFmtId="10" fontId="27" fillId="3" borderId="1" xfId="0" applyNumberFormat="1" applyFont="1" applyFill="1" applyBorder="1"/>
    <xf numFmtId="0" fontId="18" fillId="3" borderId="34" xfId="4" applyFont="1" applyFill="1" applyBorder="1" applyAlignment="1">
      <alignment vertical="center"/>
    </xf>
    <xf numFmtId="0" fontId="18" fillId="3" borderId="35" xfId="4" applyFont="1" applyFill="1" applyBorder="1" applyAlignment="1">
      <alignment vertical="center"/>
    </xf>
    <xf numFmtId="0" fontId="5" fillId="3" borderId="20" xfId="4" applyFont="1" applyFill="1" applyBorder="1" applyAlignment="1">
      <alignment vertical="center"/>
    </xf>
    <xf numFmtId="44" fontId="10" fillId="3" borderId="22" xfId="2" applyFont="1" applyFill="1" applyBorder="1" applyAlignment="1">
      <alignment horizontal="center" vertical="center"/>
    </xf>
    <xf numFmtId="0" fontId="18" fillId="3" borderId="36" xfId="4" applyFont="1" applyFill="1" applyBorder="1" applyAlignment="1">
      <alignment vertical="center"/>
    </xf>
    <xf numFmtId="43" fontId="10" fillId="3" borderId="37" xfId="1" applyFont="1" applyFill="1" applyBorder="1" applyAlignment="1">
      <alignment horizontal="center" vertical="center"/>
    </xf>
    <xf numFmtId="44" fontId="10" fillId="3" borderId="38" xfId="2" applyFont="1" applyFill="1" applyBorder="1" applyAlignment="1">
      <alignment horizontal="center" vertical="center"/>
    </xf>
    <xf numFmtId="0" fontId="3" fillId="0" borderId="0" xfId="0" applyFont="1" applyAlignment="1">
      <alignment vertical="center" wrapText="1"/>
    </xf>
    <xf numFmtId="0" fontId="5" fillId="3" borderId="39" xfId="4" applyFont="1" applyFill="1" applyBorder="1" applyAlignment="1">
      <alignment vertical="center"/>
    </xf>
    <xf numFmtId="0" fontId="0" fillId="3" borderId="40" xfId="0" applyFill="1" applyBorder="1"/>
    <xf numFmtId="0" fontId="5" fillId="3" borderId="23" xfId="4" applyFont="1" applyFill="1" applyBorder="1" applyAlignment="1">
      <alignment vertical="center"/>
    </xf>
    <xf numFmtId="44" fontId="27" fillId="3" borderId="24" xfId="2" applyFont="1" applyFill="1" applyBorder="1"/>
    <xf numFmtId="0" fontId="0" fillId="3" borderId="41" xfId="0" applyFill="1" applyBorder="1" applyAlignment="1">
      <alignment horizontal="center" vertical="center"/>
    </xf>
    <xf numFmtId="0" fontId="0" fillId="3" borderId="42" xfId="0" applyFill="1" applyBorder="1" applyAlignment="1">
      <alignment horizontal="center" vertical="center"/>
    </xf>
    <xf numFmtId="44" fontId="0" fillId="3" borderId="40" xfId="2" applyFont="1" applyFill="1" applyBorder="1" applyAlignment="1">
      <alignment horizontal="center" vertical="center"/>
    </xf>
    <xf numFmtId="0" fontId="8" fillId="2" borderId="7" xfId="4" applyFont="1" applyFill="1" applyBorder="1" applyAlignment="1">
      <alignment vertical="center"/>
    </xf>
    <xf numFmtId="3" fontId="13" fillId="3" borderId="43" xfId="7" applyNumberFormat="1" applyFont="1" applyFill="1" applyBorder="1" applyAlignment="1" applyProtection="1">
      <alignment horizontal="center" vertical="center"/>
      <protection locked="0"/>
    </xf>
    <xf numFmtId="0" fontId="12" fillId="0" borderId="0" xfId="4" applyFont="1" applyAlignment="1">
      <alignment vertical="center"/>
    </xf>
    <xf numFmtId="3" fontId="13" fillId="0" borderId="0" xfId="7" applyNumberFormat="1" applyFont="1" applyFill="1" applyBorder="1" applyAlignment="1" applyProtection="1">
      <alignment horizontal="center" vertical="center"/>
      <protection locked="0"/>
    </xf>
    <xf numFmtId="0" fontId="8" fillId="2" borderId="7" xfId="4" applyFont="1" applyFill="1" applyBorder="1" applyAlignment="1">
      <alignment horizontal="center" vertical="center"/>
    </xf>
    <xf numFmtId="0" fontId="8" fillId="2" borderId="7" xfId="4" applyFont="1" applyFill="1" applyBorder="1" applyAlignment="1">
      <alignment horizontal="center" vertical="center" wrapText="1"/>
    </xf>
    <xf numFmtId="10" fontId="10" fillId="3" borderId="22" xfId="2" applyNumberFormat="1" applyFont="1" applyFill="1" applyBorder="1" applyAlignment="1">
      <alignment horizontal="center" vertical="center"/>
    </xf>
    <xf numFmtId="9" fontId="13" fillId="3" borderId="45" xfId="3" applyFont="1" applyFill="1" applyBorder="1" applyAlignment="1">
      <alignment horizontal="center" vertical="center"/>
    </xf>
    <xf numFmtId="0" fontId="5" fillId="3" borderId="46" xfId="4" applyFont="1" applyFill="1" applyBorder="1" applyAlignment="1">
      <alignment horizontal="left" vertical="center"/>
    </xf>
    <xf numFmtId="9" fontId="10" fillId="3" borderId="47" xfId="3" applyFont="1" applyFill="1" applyBorder="1" applyAlignment="1">
      <alignment horizontal="center" vertical="center"/>
    </xf>
    <xf numFmtId="0" fontId="5" fillId="3" borderId="20" xfId="4" applyFont="1" applyFill="1" applyBorder="1" applyAlignment="1">
      <alignment horizontal="left" vertical="center"/>
    </xf>
    <xf numFmtId="9" fontId="13" fillId="3" borderId="22" xfId="3" applyFont="1" applyFill="1" applyBorder="1" applyAlignment="1">
      <alignment horizontal="center" vertical="center"/>
    </xf>
    <xf numFmtId="0" fontId="5" fillId="3" borderId="44" xfId="4" applyFont="1" applyFill="1" applyBorder="1" applyAlignment="1">
      <alignment vertical="center" wrapText="1"/>
    </xf>
    <xf numFmtId="9" fontId="10" fillId="3" borderId="45" xfId="3" applyFont="1" applyFill="1" applyBorder="1" applyAlignment="1">
      <alignment horizontal="center" vertical="center"/>
    </xf>
    <xf numFmtId="0" fontId="5" fillId="3" borderId="39" xfId="4" applyFont="1" applyFill="1" applyBorder="1" applyAlignment="1">
      <alignment horizontal="left" vertical="center" wrapText="1"/>
    </xf>
    <xf numFmtId="10" fontId="10" fillId="3" borderId="21" xfId="2" applyNumberFormat="1" applyFont="1" applyFill="1" applyBorder="1" applyAlignment="1">
      <alignment horizontal="center" vertical="center"/>
    </xf>
    <xf numFmtId="0" fontId="5" fillId="3" borderId="20" xfId="4" applyFont="1" applyFill="1" applyBorder="1" applyAlignment="1">
      <alignment horizontal="left" vertical="center" wrapText="1"/>
    </xf>
    <xf numFmtId="0" fontId="5" fillId="3" borderId="23" xfId="4" applyFont="1" applyFill="1" applyBorder="1" applyAlignment="1">
      <alignment horizontal="left" vertical="center" wrapText="1"/>
    </xf>
    <xf numFmtId="10" fontId="10" fillId="3" borderId="25" xfId="2" applyNumberFormat="1" applyFont="1" applyFill="1" applyBorder="1" applyAlignment="1">
      <alignment horizontal="center" vertical="center"/>
    </xf>
    <xf numFmtId="44" fontId="10" fillId="3" borderId="21" xfId="2" applyFont="1" applyFill="1" applyBorder="1" applyAlignment="1">
      <alignment horizontal="center" vertical="center"/>
    </xf>
    <xf numFmtId="0" fontId="8" fillId="2" borderId="48" xfId="6" applyFont="1" applyFill="1" applyBorder="1" applyAlignment="1">
      <alignment vertical="center"/>
    </xf>
    <xf numFmtId="0" fontId="8" fillId="2" borderId="3" xfId="4" applyFont="1" applyFill="1" applyBorder="1" applyAlignment="1">
      <alignment vertical="center"/>
    </xf>
    <xf numFmtId="165" fontId="10" fillId="3" borderId="49" xfId="2" applyNumberFormat="1" applyFont="1" applyFill="1" applyBorder="1" applyAlignment="1">
      <alignment horizontal="center" vertical="center"/>
    </xf>
    <xf numFmtId="0" fontId="5" fillId="3" borderId="15" xfId="4" applyFont="1" applyFill="1" applyBorder="1" applyAlignment="1">
      <alignment horizontal="left" vertical="center" wrapText="1"/>
    </xf>
    <xf numFmtId="3" fontId="13" fillId="3" borderId="50" xfId="7" applyNumberFormat="1" applyFont="1" applyFill="1" applyBorder="1" applyAlignment="1" applyProtection="1">
      <alignment horizontal="center" vertical="center"/>
      <protection locked="0"/>
    </xf>
    <xf numFmtId="0" fontId="8" fillId="2" borderId="3" xfId="6" applyFont="1" applyFill="1" applyBorder="1" applyAlignment="1">
      <alignment vertical="center"/>
    </xf>
    <xf numFmtId="0" fontId="8" fillId="2" borderId="5" xfId="6" applyFont="1" applyFill="1" applyBorder="1" applyAlignment="1">
      <alignment vertical="center"/>
    </xf>
    <xf numFmtId="0" fontId="5" fillId="3" borderId="34" xfId="4" applyFont="1" applyFill="1" applyBorder="1" applyAlignment="1">
      <alignment vertical="center" wrapText="1"/>
    </xf>
    <xf numFmtId="0" fontId="5" fillId="3" borderId="15" xfId="4" applyFont="1" applyFill="1" applyBorder="1" applyAlignment="1">
      <alignment horizontal="left" vertical="center"/>
    </xf>
    <xf numFmtId="0" fontId="9" fillId="2" borderId="5" xfId="0" applyFont="1" applyFill="1" applyBorder="1" applyAlignment="1">
      <alignment vertical="center"/>
    </xf>
    <xf numFmtId="44" fontId="10" fillId="3" borderId="22" xfId="3" applyNumberFormat="1" applyFont="1" applyFill="1" applyBorder="1" applyAlignment="1">
      <alignment horizontal="center" vertical="center"/>
    </xf>
    <xf numFmtId="3" fontId="10" fillId="3" borderId="22" xfId="7" applyNumberFormat="1" applyFont="1" applyFill="1" applyBorder="1" applyAlignment="1" applyProtection="1">
      <alignment horizontal="center" vertical="center"/>
    </xf>
    <xf numFmtId="9" fontId="10" fillId="3" borderId="25" xfId="3" applyFont="1" applyFill="1" applyBorder="1" applyAlignment="1">
      <alignment horizontal="center" vertical="center"/>
    </xf>
    <xf numFmtId="10" fontId="10" fillId="3" borderId="25" xfId="3" applyNumberFormat="1" applyFont="1" applyFill="1" applyBorder="1" applyAlignment="1">
      <alignment horizontal="center" vertical="center"/>
    </xf>
    <xf numFmtId="0" fontId="12" fillId="3" borderId="22" xfId="7" applyNumberFormat="1" applyFont="1" applyFill="1" applyBorder="1" applyAlignment="1" applyProtection="1">
      <alignment horizontal="center" vertical="center"/>
    </xf>
    <xf numFmtId="9" fontId="11" fillId="3" borderId="22" xfId="3" applyFont="1" applyFill="1" applyBorder="1" applyAlignment="1">
      <alignment horizontal="center" vertical="center"/>
    </xf>
    <xf numFmtId="44" fontId="10" fillId="3" borderId="25" xfId="2" applyFont="1" applyFill="1" applyBorder="1" applyAlignment="1">
      <alignment horizontal="center" vertical="center"/>
    </xf>
    <xf numFmtId="0" fontId="5" fillId="3" borderId="46" xfId="4" applyFont="1" applyFill="1" applyBorder="1" applyAlignment="1">
      <alignment horizontal="left" vertical="center" wrapText="1"/>
    </xf>
    <xf numFmtId="0" fontId="10" fillId="3" borderId="25" xfId="4" applyFont="1" applyFill="1" applyBorder="1" applyAlignment="1" applyProtection="1">
      <alignment horizontal="center" vertical="center"/>
      <protection locked="0"/>
    </xf>
    <xf numFmtId="44" fontId="0" fillId="0" borderId="0" xfId="0" applyNumberFormat="1"/>
    <xf numFmtId="0" fontId="23" fillId="3" borderId="51" xfId="0" applyFont="1" applyFill="1" applyBorder="1"/>
    <xf numFmtId="0" fontId="25" fillId="0" borderId="0" xfId="0" applyFont="1"/>
    <xf numFmtId="44" fontId="25" fillId="0" borderId="0" xfId="0" applyNumberFormat="1" applyFont="1"/>
    <xf numFmtId="0" fontId="8" fillId="2" borderId="8" xfId="4" applyFont="1" applyFill="1" applyBorder="1" applyAlignment="1">
      <alignment vertical="center" wrapText="1"/>
    </xf>
    <xf numFmtId="0" fontId="0" fillId="3" borderId="20" xfId="0" applyFill="1" applyBorder="1" applyAlignment="1">
      <alignment vertical="center" wrapText="1"/>
    </xf>
    <xf numFmtId="0" fontId="0" fillId="3" borderId="23" xfId="0" applyFill="1" applyBorder="1" applyAlignment="1">
      <alignment vertical="center" wrapText="1"/>
    </xf>
    <xf numFmtId="0" fontId="0" fillId="3" borderId="39" xfId="0" applyFill="1" applyBorder="1" applyAlignment="1">
      <alignment vertical="center" wrapText="1"/>
    </xf>
    <xf numFmtId="0" fontId="0" fillId="3" borderId="52" xfId="0" applyFill="1" applyBorder="1" applyAlignment="1">
      <alignment vertical="center" wrapText="1"/>
    </xf>
    <xf numFmtId="0" fontId="0" fillId="3" borderId="54" xfId="0" applyFill="1" applyBorder="1" applyAlignment="1">
      <alignment vertical="center" wrapText="1"/>
    </xf>
    <xf numFmtId="0" fontId="0" fillId="3" borderId="55" xfId="0" applyFill="1" applyBorder="1" applyAlignment="1">
      <alignment vertical="center"/>
    </xf>
    <xf numFmtId="0" fontId="0" fillId="3" borderId="56" xfId="0" applyFill="1" applyBorder="1" applyAlignment="1">
      <alignment vertical="center"/>
    </xf>
    <xf numFmtId="0" fontId="0" fillId="3" borderId="11" xfId="0" applyFill="1" applyBorder="1" applyAlignment="1">
      <alignment vertical="center"/>
    </xf>
    <xf numFmtId="0" fontId="0" fillId="3" borderId="57" xfId="0" applyFill="1" applyBorder="1" applyAlignment="1">
      <alignment vertical="center"/>
    </xf>
    <xf numFmtId="44" fontId="0" fillId="3" borderId="57" xfId="2" applyFont="1" applyFill="1" applyBorder="1" applyAlignment="1">
      <alignment vertical="center"/>
    </xf>
    <xf numFmtId="44" fontId="27" fillId="3" borderId="1" xfId="2" applyFont="1" applyFill="1" applyBorder="1" applyAlignment="1">
      <alignment vertical="center"/>
    </xf>
    <xf numFmtId="44" fontId="27" fillId="3" borderId="55" xfId="2" applyFont="1" applyFill="1" applyBorder="1" applyAlignment="1">
      <alignment vertical="center"/>
    </xf>
    <xf numFmtId="44" fontId="30" fillId="3" borderId="55" xfId="2" applyFont="1" applyFill="1" applyBorder="1" applyAlignment="1">
      <alignment vertical="center"/>
    </xf>
    <xf numFmtId="0" fontId="8" fillId="2" borderId="32" xfId="4" applyFont="1" applyFill="1" applyBorder="1" applyAlignment="1">
      <alignment vertical="center" wrapText="1"/>
    </xf>
    <xf numFmtId="0" fontId="8" fillId="0" borderId="6" xfId="4" applyFont="1" applyBorder="1" applyAlignment="1">
      <alignment vertical="center" wrapText="1"/>
    </xf>
    <xf numFmtId="44" fontId="0" fillId="0" borderId="6" xfId="2" applyFont="1" applyFill="1" applyBorder="1" applyAlignment="1">
      <alignment vertical="center"/>
    </xf>
    <xf numFmtId="0" fontId="0" fillId="0" borderId="6" xfId="0" applyBorder="1"/>
    <xf numFmtId="0" fontId="27" fillId="3" borderId="10" xfId="0" applyFont="1" applyFill="1" applyBorder="1" applyAlignment="1">
      <alignment vertical="center"/>
    </xf>
    <xf numFmtId="0" fontId="27" fillId="3" borderId="59" xfId="0" applyFont="1" applyFill="1" applyBorder="1" applyAlignment="1">
      <alignment vertical="center"/>
    </xf>
    <xf numFmtId="0" fontId="3" fillId="0" borderId="0" xfId="0" applyFont="1" applyAlignment="1">
      <alignment horizontal="center" vertical="center" wrapText="1"/>
    </xf>
    <xf numFmtId="44" fontId="3" fillId="0" borderId="0" xfId="2"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4" fontId="17" fillId="0" borderId="0" xfId="0" applyNumberFormat="1" applyFont="1" applyAlignment="1">
      <alignment vertical="center"/>
    </xf>
    <xf numFmtId="44" fontId="3" fillId="0" borderId="0" xfId="0" applyNumberFormat="1" applyFont="1"/>
    <xf numFmtId="0" fontId="8" fillId="2" borderId="31" xfId="4" applyFont="1" applyFill="1" applyBorder="1" applyAlignment="1">
      <alignment vertical="center" wrapText="1"/>
    </xf>
    <xf numFmtId="44" fontId="5" fillId="3" borderId="22" xfId="2" applyFont="1" applyFill="1" applyBorder="1" applyAlignment="1">
      <alignment horizontal="left" vertical="center"/>
    </xf>
    <xf numFmtId="167" fontId="11" fillId="3" borderId="61" xfId="1" applyNumberFormat="1" applyFont="1" applyFill="1" applyBorder="1" applyAlignment="1">
      <alignment horizontal="center" vertical="center"/>
    </xf>
    <xf numFmtId="44" fontId="5" fillId="3" borderId="49" xfId="2" applyFont="1" applyFill="1" applyBorder="1" applyAlignment="1">
      <alignment horizontal="left" vertical="center"/>
    </xf>
    <xf numFmtId="44" fontId="5" fillId="3" borderId="64" xfId="2" applyFont="1" applyFill="1" applyBorder="1" applyAlignment="1">
      <alignment horizontal="left" vertical="center"/>
    </xf>
    <xf numFmtId="0" fontId="0" fillId="3" borderId="20" xfId="0" applyFill="1" applyBorder="1" applyAlignment="1">
      <alignment vertical="center"/>
    </xf>
    <xf numFmtId="0" fontId="0" fillId="3" borderId="22" xfId="0" applyFill="1" applyBorder="1" applyAlignment="1">
      <alignment vertical="center" wrapText="1"/>
    </xf>
    <xf numFmtId="0" fontId="0" fillId="3" borderId="23" xfId="0" applyFill="1" applyBorder="1" applyAlignment="1">
      <alignment vertical="center"/>
    </xf>
    <xf numFmtId="0" fontId="0" fillId="3" borderId="25" xfId="0" applyFill="1" applyBorder="1" applyAlignment="1">
      <alignment vertical="center" wrapText="1"/>
    </xf>
    <xf numFmtId="0" fontId="0" fillId="3" borderId="39" xfId="0" applyFill="1" applyBorder="1" applyAlignment="1">
      <alignment vertical="center"/>
    </xf>
    <xf numFmtId="0" fontId="0" fillId="3" borderId="21" xfId="0" applyFill="1" applyBorder="1" applyAlignment="1">
      <alignment vertical="center" wrapText="1"/>
    </xf>
    <xf numFmtId="168" fontId="27" fillId="3" borderId="67" xfId="0" applyNumberFormat="1" applyFont="1" applyFill="1" applyBorder="1"/>
    <xf numFmtId="0" fontId="0" fillId="3" borderId="68" xfId="0" applyFill="1" applyBorder="1"/>
    <xf numFmtId="0" fontId="0" fillId="3" borderId="69" xfId="0" applyFill="1" applyBorder="1"/>
    <xf numFmtId="10" fontId="10" fillId="3" borderId="63" xfId="3" applyNumberFormat="1" applyFont="1" applyFill="1" applyBorder="1" applyAlignment="1">
      <alignment horizontal="center" vertical="center"/>
    </xf>
    <xf numFmtId="10" fontId="10" fillId="3" borderId="61" xfId="3" applyNumberFormat="1" applyFont="1" applyFill="1" applyBorder="1" applyAlignment="1">
      <alignment horizontal="center" vertical="center"/>
    </xf>
    <xf numFmtId="9" fontId="27" fillId="3" borderId="2"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9" fontId="27" fillId="3" borderId="24" xfId="0" applyNumberFormat="1" applyFont="1" applyFill="1" applyBorder="1" applyAlignment="1">
      <alignment horizontal="center" vertical="center"/>
    </xf>
    <xf numFmtId="0" fontId="8" fillId="0" borderId="0" xfId="4" applyFont="1" applyAlignment="1">
      <alignment horizontal="left" vertical="center"/>
    </xf>
    <xf numFmtId="0" fontId="31" fillId="0" borderId="0" xfId="0" applyFont="1" applyAlignment="1">
      <alignment vertical="center"/>
    </xf>
    <xf numFmtId="0" fontId="8" fillId="2" borderId="65" xfId="4" applyFont="1" applyFill="1" applyBorder="1" applyAlignment="1">
      <alignment horizontal="center" vertical="center"/>
    </xf>
    <xf numFmtId="0" fontId="8" fillId="2" borderId="66" xfId="4"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43" fontId="10" fillId="3" borderId="22" xfId="1" applyFont="1" applyFill="1" applyBorder="1" applyAlignment="1">
      <alignment horizontal="center" vertical="center"/>
    </xf>
    <xf numFmtId="43" fontId="10" fillId="3" borderId="25" xfId="1" applyFont="1" applyFill="1" applyBorder="1" applyAlignment="1">
      <alignment horizontal="center" vertical="center"/>
    </xf>
    <xf numFmtId="0" fontId="8" fillId="2" borderId="3" xfId="4" applyFont="1" applyFill="1" applyBorder="1" applyAlignment="1">
      <alignment vertical="center" wrapText="1"/>
    </xf>
    <xf numFmtId="0" fontId="8" fillId="2" borderId="5" xfId="0" applyFont="1" applyFill="1" applyBorder="1" applyAlignment="1">
      <alignment horizontal="center" vertical="center" wrapText="1"/>
    </xf>
    <xf numFmtId="2" fontId="27" fillId="3" borderId="70" xfId="0" applyNumberFormat="1" applyFont="1" applyFill="1" applyBorder="1"/>
    <xf numFmtId="43" fontId="27" fillId="3" borderId="2" xfId="1" applyFont="1" applyFill="1" applyBorder="1"/>
    <xf numFmtId="0" fontId="27" fillId="3" borderId="2" xfId="0" applyFont="1" applyFill="1" applyBorder="1"/>
    <xf numFmtId="43" fontId="27" fillId="3" borderId="1" xfId="1" applyFont="1" applyFill="1" applyBorder="1"/>
    <xf numFmtId="43" fontId="27" fillId="3" borderId="24" xfId="1" applyFont="1" applyFill="1" applyBorder="1"/>
    <xf numFmtId="0" fontId="27" fillId="3" borderId="24" xfId="0" applyFont="1" applyFill="1" applyBorder="1"/>
    <xf numFmtId="0" fontId="8" fillId="2" borderId="7" xfId="4" applyFont="1" applyFill="1" applyBorder="1" applyAlignment="1">
      <alignment vertical="center" wrapText="1"/>
    </xf>
    <xf numFmtId="44" fontId="3" fillId="4" borderId="71" xfId="0" applyNumberFormat="1" applyFont="1" applyFill="1" applyBorder="1" applyAlignment="1">
      <alignment wrapText="1"/>
    </xf>
    <xf numFmtId="44" fontId="19" fillId="3" borderId="72" xfId="0" applyNumberFormat="1" applyFont="1" applyFill="1" applyBorder="1" applyAlignment="1">
      <alignment horizontal="center" vertical="center"/>
    </xf>
    <xf numFmtId="0" fontId="8" fillId="2" borderId="0" xfId="4" applyFont="1" applyFill="1" applyAlignment="1">
      <alignment vertical="center" wrapText="1"/>
    </xf>
    <xf numFmtId="0" fontId="8" fillId="2" borderId="73" xfId="4" applyFont="1" applyFill="1" applyBorder="1" applyAlignment="1">
      <alignment vertical="center" wrapText="1"/>
    </xf>
    <xf numFmtId="169" fontId="10" fillId="3" borderId="74" xfId="1" applyNumberFormat="1" applyFont="1" applyFill="1" applyBorder="1" applyAlignment="1">
      <alignment horizontal="center" vertical="center"/>
    </xf>
    <xf numFmtId="0" fontId="8" fillId="2" borderId="73" xfId="4" applyFont="1" applyFill="1" applyBorder="1" applyAlignment="1">
      <alignment horizontal="center" vertical="center" wrapText="1"/>
    </xf>
    <xf numFmtId="0" fontId="5" fillId="0" borderId="75" xfId="4" applyFont="1" applyBorder="1" applyAlignment="1">
      <alignment horizontal="center" vertical="center"/>
    </xf>
    <xf numFmtId="9" fontId="8" fillId="2" borderId="5" xfId="3" applyFont="1" applyFill="1" applyBorder="1" applyAlignment="1">
      <alignment horizontal="center" vertical="center"/>
    </xf>
    <xf numFmtId="0" fontId="5" fillId="3" borderId="39" xfId="4" applyFont="1" applyFill="1" applyBorder="1" applyAlignment="1">
      <alignment vertical="center" wrapText="1"/>
    </xf>
    <xf numFmtId="0" fontId="5" fillId="3" borderId="20" xfId="4" applyFont="1" applyFill="1" applyBorder="1" applyAlignment="1">
      <alignment vertical="center" wrapText="1"/>
    </xf>
    <xf numFmtId="0" fontId="0" fillId="5" borderId="0" xfId="0" applyFill="1"/>
    <xf numFmtId="0" fontId="5" fillId="3" borderId="23" xfId="4" applyFont="1" applyFill="1" applyBorder="1" applyAlignment="1">
      <alignment vertical="center" wrapText="1"/>
    </xf>
    <xf numFmtId="0" fontId="8" fillId="2" borderId="5" xfId="4" applyFont="1" applyFill="1" applyBorder="1" applyAlignment="1">
      <alignment horizontal="center" vertical="center" wrapText="1"/>
    </xf>
    <xf numFmtId="0" fontId="0" fillId="0" borderId="77" xfId="0" applyBorder="1" applyAlignment="1">
      <alignment vertical="center"/>
    </xf>
    <xf numFmtId="0" fontId="0" fillId="0" borderId="78" xfId="0" applyBorder="1" applyAlignment="1">
      <alignment vertical="center"/>
    </xf>
    <xf numFmtId="0" fontId="0" fillId="0" borderId="78" xfId="0" applyBorder="1" applyAlignment="1">
      <alignment vertical="center" wrapText="1"/>
    </xf>
    <xf numFmtId="0" fontId="5" fillId="6" borderId="36" xfId="4" applyFont="1" applyFill="1" applyBorder="1" applyAlignment="1">
      <alignment horizontal="left" vertical="center" wrapText="1"/>
    </xf>
    <xf numFmtId="0" fontId="33" fillId="0" borderId="76" xfId="0" applyFont="1" applyBorder="1" applyAlignment="1">
      <alignment horizontal="center" vertical="center"/>
    </xf>
    <xf numFmtId="0" fontId="8" fillId="2" borderId="80" xfId="4" applyFont="1" applyFill="1" applyBorder="1" applyAlignment="1">
      <alignment horizontal="center" vertical="center"/>
    </xf>
    <xf numFmtId="0" fontId="34" fillId="7" borderId="81" xfId="4" applyFont="1" applyFill="1" applyBorder="1" applyAlignment="1">
      <alignment horizontal="center" vertical="center"/>
    </xf>
    <xf numFmtId="0" fontId="15" fillId="3" borderId="20" xfId="4" applyFont="1" applyFill="1" applyBorder="1" applyAlignment="1">
      <alignment vertical="center"/>
    </xf>
    <xf numFmtId="0" fontId="15" fillId="3" borderId="34" xfId="4" applyFont="1" applyFill="1" applyBorder="1" applyAlignment="1">
      <alignment vertical="center"/>
    </xf>
    <xf numFmtId="0" fontId="15" fillId="3" borderId="62" xfId="4" applyFont="1" applyFill="1" applyBorder="1" applyAlignment="1">
      <alignment vertical="center"/>
    </xf>
    <xf numFmtId="0" fontId="8" fillId="2" borderId="65" xfId="4" applyFont="1" applyFill="1" applyBorder="1" applyAlignment="1">
      <alignment horizontal="left" vertical="center"/>
    </xf>
    <xf numFmtId="0" fontId="33" fillId="0" borderId="78" xfId="0" applyFont="1" applyBorder="1" applyAlignment="1">
      <alignment vertical="center" wrapText="1"/>
    </xf>
    <xf numFmtId="0" fontId="35" fillId="7" borderId="81" xfId="4" applyFont="1" applyFill="1" applyBorder="1" applyAlignment="1">
      <alignment horizontal="center" vertical="center"/>
    </xf>
    <xf numFmtId="49" fontId="37" fillId="3" borderId="22" xfId="7" applyNumberFormat="1" applyFont="1" applyFill="1" applyBorder="1" applyAlignment="1">
      <alignment horizontal="center" vertical="center"/>
    </xf>
    <xf numFmtId="49" fontId="37" fillId="3" borderId="25" xfId="7" applyNumberFormat="1" applyFont="1" applyFill="1" applyBorder="1" applyAlignment="1">
      <alignment horizontal="center" vertical="center"/>
    </xf>
    <xf numFmtId="49" fontId="37" fillId="3" borderId="22" xfId="7" applyNumberFormat="1" applyFont="1" applyFill="1" applyBorder="1" applyAlignment="1" applyProtection="1">
      <alignment horizontal="center" vertical="center"/>
    </xf>
    <xf numFmtId="49" fontId="37" fillId="3" borderId="25" xfId="7" applyNumberFormat="1" applyFont="1" applyFill="1" applyBorder="1" applyAlignment="1" applyProtection="1">
      <alignment horizontal="center" vertical="center"/>
    </xf>
    <xf numFmtId="0" fontId="37" fillId="3" borderId="22" xfId="4" applyFont="1" applyFill="1" applyBorder="1" applyAlignment="1" applyProtection="1">
      <alignment horizontal="center" vertical="center"/>
      <protection locked="0"/>
    </xf>
    <xf numFmtId="9" fontId="37" fillId="3" borderId="22" xfId="3" applyFont="1" applyFill="1" applyBorder="1" applyAlignment="1">
      <alignment horizontal="center" vertical="center"/>
    </xf>
    <xf numFmtId="0" fontId="37" fillId="3" borderId="22" xfId="4" applyFont="1" applyFill="1" applyBorder="1" applyAlignment="1">
      <alignment horizontal="center" vertical="center"/>
    </xf>
    <xf numFmtId="9" fontId="38" fillId="3" borderId="22" xfId="3" applyFont="1" applyFill="1" applyBorder="1" applyAlignment="1">
      <alignment horizontal="center" vertical="center"/>
    </xf>
    <xf numFmtId="10" fontId="37" fillId="3" borderId="16" xfId="3" applyNumberFormat="1" applyFont="1" applyFill="1" applyBorder="1" applyAlignment="1">
      <alignment horizontal="center" vertical="center"/>
    </xf>
    <xf numFmtId="43" fontId="37" fillId="3" borderId="22" xfId="1" applyFont="1" applyFill="1" applyBorder="1" applyAlignment="1" applyProtection="1">
      <alignment horizontal="center" vertical="center"/>
    </xf>
    <xf numFmtId="43" fontId="37" fillId="3" borderId="25" xfId="1" applyFont="1" applyFill="1" applyBorder="1" applyAlignment="1" applyProtection="1">
      <alignment horizontal="center" vertical="center"/>
    </xf>
    <xf numFmtId="0" fontId="38" fillId="3" borderId="22" xfId="7" applyNumberFormat="1" applyFont="1" applyFill="1" applyBorder="1" applyAlignment="1">
      <alignment horizontal="center" vertical="center"/>
    </xf>
    <xf numFmtId="0" fontId="38" fillId="3" borderId="22" xfId="7" applyNumberFormat="1" applyFont="1" applyFill="1" applyBorder="1" applyAlignment="1" applyProtection="1">
      <alignment horizontal="center" vertical="center"/>
    </xf>
    <xf numFmtId="10" fontId="37" fillId="3" borderId="22" xfId="3" applyNumberFormat="1" applyFont="1" applyFill="1" applyBorder="1" applyAlignment="1">
      <alignment horizontal="center" vertical="center"/>
    </xf>
    <xf numFmtId="3" fontId="37" fillId="3" borderId="22" xfId="7" applyNumberFormat="1" applyFont="1" applyFill="1" applyBorder="1" applyAlignment="1" applyProtection="1">
      <alignment horizontal="center" vertical="center"/>
      <protection locked="0"/>
    </xf>
    <xf numFmtId="3" fontId="37" fillId="3" borderId="22" xfId="7" applyNumberFormat="1" applyFont="1" applyFill="1" applyBorder="1" applyAlignment="1" applyProtection="1">
      <alignment horizontal="center" vertical="center"/>
    </xf>
    <xf numFmtId="10" fontId="37" fillId="3" borderId="25" xfId="4" applyNumberFormat="1" applyFont="1" applyFill="1" applyBorder="1" applyAlignment="1" applyProtection="1">
      <alignment horizontal="center" vertical="center"/>
      <protection locked="0"/>
    </xf>
    <xf numFmtId="44" fontId="37" fillId="3" borderId="22" xfId="3" applyNumberFormat="1" applyFont="1" applyFill="1" applyBorder="1" applyAlignment="1">
      <alignment horizontal="center" vertical="center"/>
    </xf>
    <xf numFmtId="44" fontId="37" fillId="3" borderId="22" xfId="2" applyFont="1" applyFill="1" applyBorder="1" applyAlignment="1">
      <alignment horizontal="center" vertical="center"/>
    </xf>
    <xf numFmtId="44" fontId="37" fillId="3" borderId="25" xfId="2" applyFont="1" applyFill="1" applyBorder="1" applyAlignment="1">
      <alignment horizontal="center" vertical="center"/>
    </xf>
    <xf numFmtId="9" fontId="37" fillId="3" borderId="47" xfId="3" applyFont="1" applyFill="1" applyBorder="1" applyAlignment="1">
      <alignment horizontal="center" vertical="center"/>
    </xf>
    <xf numFmtId="0" fontId="37" fillId="3" borderId="25" xfId="4" applyFont="1" applyFill="1" applyBorder="1" applyAlignment="1" applyProtection="1">
      <alignment horizontal="center" vertical="center"/>
      <protection locked="0"/>
    </xf>
    <xf numFmtId="44" fontId="37" fillId="3" borderId="21" xfId="2" applyFont="1" applyFill="1" applyBorder="1" applyAlignment="1">
      <alignment horizontal="center" vertical="center"/>
    </xf>
    <xf numFmtId="10" fontId="37" fillId="3" borderId="22" xfId="2" applyNumberFormat="1" applyFont="1" applyFill="1" applyBorder="1" applyAlignment="1">
      <alignment horizontal="center" vertical="center"/>
    </xf>
    <xf numFmtId="9" fontId="38" fillId="3" borderId="45" xfId="3" applyFont="1" applyFill="1" applyBorder="1" applyAlignment="1">
      <alignment horizontal="center" vertical="center"/>
    </xf>
    <xf numFmtId="9" fontId="37" fillId="3" borderId="45" xfId="3" applyFont="1" applyFill="1" applyBorder="1" applyAlignment="1">
      <alignment horizontal="center" vertical="center"/>
    </xf>
    <xf numFmtId="10" fontId="37" fillId="3" borderId="21" xfId="2" applyNumberFormat="1" applyFont="1" applyFill="1" applyBorder="1" applyAlignment="1">
      <alignment horizontal="center" vertical="center"/>
    </xf>
    <xf numFmtId="10" fontId="37" fillId="3" borderId="25" xfId="2" applyNumberFormat="1" applyFont="1" applyFill="1" applyBorder="1" applyAlignment="1">
      <alignment horizontal="center" vertical="center"/>
    </xf>
    <xf numFmtId="9" fontId="37" fillId="3" borderId="25" xfId="3" applyFont="1" applyFill="1" applyBorder="1" applyAlignment="1">
      <alignment horizontal="center" vertical="center"/>
    </xf>
    <xf numFmtId="10" fontId="37" fillId="3" borderId="25" xfId="3" applyNumberFormat="1" applyFont="1" applyFill="1" applyBorder="1" applyAlignment="1">
      <alignment horizontal="center" vertical="center"/>
    </xf>
    <xf numFmtId="165" fontId="37" fillId="3" borderId="49" xfId="2" applyNumberFormat="1" applyFont="1" applyFill="1" applyBorder="1" applyAlignment="1">
      <alignment horizontal="center" vertical="center"/>
    </xf>
    <xf numFmtId="3" fontId="38" fillId="3" borderId="50" xfId="7" applyNumberFormat="1" applyFont="1" applyFill="1" applyBorder="1" applyAlignment="1" applyProtection="1">
      <alignment horizontal="center" vertical="center"/>
      <protection locked="0"/>
    </xf>
    <xf numFmtId="10" fontId="38" fillId="3" borderId="22" xfId="3" applyNumberFormat="1" applyFont="1" applyFill="1" applyBorder="1" applyAlignment="1">
      <alignment vertical="center"/>
    </xf>
    <xf numFmtId="10" fontId="38" fillId="3" borderId="25" xfId="3" applyNumberFormat="1" applyFont="1" applyFill="1" applyBorder="1" applyAlignment="1">
      <alignment vertical="center"/>
    </xf>
    <xf numFmtId="44" fontId="39" fillId="3" borderId="72" xfId="0" applyNumberFormat="1" applyFont="1" applyFill="1" applyBorder="1" applyAlignment="1">
      <alignment horizontal="center" vertical="center"/>
    </xf>
    <xf numFmtId="169" fontId="37" fillId="3" borderId="74" xfId="1" applyNumberFormat="1" applyFont="1" applyFill="1" applyBorder="1" applyAlignment="1">
      <alignment horizontal="center" vertical="center"/>
    </xf>
    <xf numFmtId="43" fontId="37" fillId="3" borderId="1" xfId="1" applyFont="1" applyFill="1" applyBorder="1" applyAlignment="1">
      <alignment horizontal="center" vertical="center"/>
    </xf>
    <xf numFmtId="43" fontId="37" fillId="3" borderId="37" xfId="1" applyFont="1" applyFill="1" applyBorder="1" applyAlignment="1">
      <alignment horizontal="center" vertical="center"/>
    </xf>
    <xf numFmtId="44" fontId="37" fillId="3" borderId="38" xfId="2" applyFont="1" applyFill="1" applyBorder="1" applyAlignment="1">
      <alignment horizontal="center" vertical="center"/>
    </xf>
    <xf numFmtId="0" fontId="40" fillId="3" borderId="1" xfId="0" applyFont="1" applyFill="1" applyBorder="1"/>
    <xf numFmtId="10" fontId="40" fillId="3" borderId="1" xfId="0" applyNumberFormat="1" applyFont="1" applyFill="1" applyBorder="1"/>
    <xf numFmtId="44" fontId="40" fillId="3" borderId="24" xfId="2" applyFont="1" applyFill="1" applyBorder="1"/>
    <xf numFmtId="44" fontId="40" fillId="3" borderId="22" xfId="2" applyFont="1" applyFill="1" applyBorder="1"/>
    <xf numFmtId="44" fontId="40" fillId="3" borderId="25" xfId="2" applyFont="1" applyFill="1" applyBorder="1"/>
    <xf numFmtId="44" fontId="40" fillId="3" borderId="21" xfId="2" applyFont="1" applyFill="1" applyBorder="1"/>
    <xf numFmtId="43" fontId="41" fillId="3" borderId="9" xfId="1" applyFont="1" applyFill="1" applyBorder="1"/>
    <xf numFmtId="43" fontId="42" fillId="3" borderId="9" xfId="1" applyFont="1" applyFill="1" applyBorder="1"/>
    <xf numFmtId="10" fontId="42" fillId="3" borderId="9" xfId="3" applyNumberFormat="1" applyFont="1" applyFill="1" applyBorder="1"/>
    <xf numFmtId="44" fontId="41" fillId="3" borderId="22" xfId="2" applyFont="1" applyFill="1" applyBorder="1"/>
    <xf numFmtId="44" fontId="42" fillId="3" borderId="22" xfId="2" applyFont="1" applyFill="1" applyBorder="1" applyAlignment="1">
      <alignment vertical="center"/>
    </xf>
    <xf numFmtId="44" fontId="42" fillId="3" borderId="22" xfId="2" applyFont="1" applyFill="1" applyBorder="1"/>
    <xf numFmtId="43" fontId="40" fillId="3" borderId="9" xfId="1" applyFont="1" applyFill="1" applyBorder="1"/>
    <xf numFmtId="43" fontId="40" fillId="3" borderId="9" xfId="1" applyFont="1" applyFill="1" applyBorder="1" applyAlignment="1">
      <alignment vertical="center"/>
    </xf>
    <xf numFmtId="43" fontId="40" fillId="3" borderId="30" xfId="1" applyFont="1" applyFill="1" applyBorder="1" applyAlignment="1">
      <alignment vertical="center"/>
    </xf>
    <xf numFmtId="44" fontId="40" fillId="3" borderId="1" xfId="2" applyFont="1" applyFill="1" applyBorder="1" applyAlignment="1">
      <alignment horizontal="center" vertical="center"/>
    </xf>
    <xf numFmtId="44" fontId="40" fillId="3" borderId="21" xfId="2" applyFont="1" applyFill="1" applyBorder="1" applyAlignment="1">
      <alignment horizontal="center" vertical="center"/>
    </xf>
    <xf numFmtId="44" fontId="40" fillId="3" borderId="25" xfId="2" applyFont="1" applyFill="1" applyBorder="1" applyAlignment="1">
      <alignment horizontal="center" vertical="center"/>
    </xf>
    <xf numFmtId="0" fontId="40" fillId="3" borderId="53" xfId="0" applyFont="1" applyFill="1" applyBorder="1" applyAlignment="1">
      <alignment vertical="center"/>
    </xf>
    <xf numFmtId="44" fontId="40" fillId="3" borderId="2" xfId="2" applyFont="1" applyFill="1" applyBorder="1" applyAlignment="1">
      <alignment vertical="center"/>
    </xf>
    <xf numFmtId="44" fontId="40" fillId="3" borderId="2" xfId="2" applyFont="1" applyFill="1" applyBorder="1"/>
    <xf numFmtId="44" fontId="40" fillId="3" borderId="1" xfId="2" applyFont="1" applyFill="1" applyBorder="1"/>
    <xf numFmtId="44" fontId="40" fillId="3" borderId="53" xfId="2" applyFont="1" applyFill="1" applyBorder="1" applyAlignment="1">
      <alignment vertical="center"/>
    </xf>
    <xf numFmtId="44" fontId="40" fillId="3" borderId="1" xfId="2" applyFont="1" applyFill="1" applyBorder="1" applyAlignment="1">
      <alignment vertical="center"/>
    </xf>
    <xf numFmtId="44" fontId="40" fillId="3" borderId="24" xfId="2" applyFont="1" applyFill="1" applyBorder="1" applyAlignment="1">
      <alignment vertical="center"/>
    </xf>
    <xf numFmtId="3" fontId="38" fillId="3" borderId="43" xfId="7" applyNumberFormat="1" applyFont="1" applyFill="1" applyBorder="1" applyAlignment="1" applyProtection="1">
      <alignment horizontal="center" vertical="center"/>
      <protection locked="0"/>
    </xf>
    <xf numFmtId="0" fontId="40" fillId="3" borderId="58" xfId="0" applyFont="1" applyFill="1" applyBorder="1" applyAlignment="1">
      <alignment vertical="center"/>
    </xf>
    <xf numFmtId="0" fontId="39" fillId="3" borderId="33" xfId="0" applyFont="1" applyFill="1" applyBorder="1" applyAlignment="1">
      <alignment vertical="center"/>
    </xf>
    <xf numFmtId="0" fontId="40" fillId="3" borderId="33" xfId="0" applyFont="1" applyFill="1" applyBorder="1" applyAlignment="1">
      <alignment vertical="center"/>
    </xf>
    <xf numFmtId="0" fontId="40" fillId="3" borderId="10" xfId="0" applyFont="1" applyFill="1" applyBorder="1" applyAlignment="1">
      <alignment vertical="center"/>
    </xf>
    <xf numFmtId="0" fontId="40" fillId="3" borderId="60" xfId="0" applyFont="1" applyFill="1" applyBorder="1" applyAlignment="1">
      <alignment vertical="center"/>
    </xf>
    <xf numFmtId="167" fontId="37" fillId="3" borderId="61" xfId="1" applyNumberFormat="1" applyFont="1" applyFill="1" applyBorder="1" applyAlignment="1">
      <alignment horizontal="center" vertical="center"/>
    </xf>
    <xf numFmtId="10" fontId="37" fillId="3" borderId="63" xfId="3" applyNumberFormat="1" applyFont="1" applyFill="1" applyBorder="1" applyAlignment="1">
      <alignment horizontal="center" vertical="center"/>
    </xf>
    <xf numFmtId="10" fontId="37" fillId="3" borderId="61" xfId="3" applyNumberFormat="1" applyFont="1" applyFill="1" applyBorder="1" applyAlignment="1">
      <alignment horizontal="center" vertical="center"/>
    </xf>
    <xf numFmtId="168" fontId="40" fillId="3" borderId="67" xfId="0" applyNumberFormat="1" applyFont="1" applyFill="1" applyBorder="1"/>
    <xf numFmtId="9" fontId="40" fillId="3" borderId="2" xfId="0" applyNumberFormat="1" applyFont="1" applyFill="1" applyBorder="1" applyAlignment="1">
      <alignment horizontal="center" vertical="center"/>
    </xf>
    <xf numFmtId="9" fontId="40" fillId="3" borderId="1" xfId="0" applyNumberFormat="1" applyFont="1" applyFill="1" applyBorder="1" applyAlignment="1">
      <alignment horizontal="center" vertical="center"/>
    </xf>
    <xf numFmtId="9" fontId="40" fillId="3" borderId="24" xfId="0" applyNumberFormat="1" applyFont="1" applyFill="1" applyBorder="1" applyAlignment="1">
      <alignment horizontal="center" vertical="center"/>
    </xf>
    <xf numFmtId="43" fontId="37" fillId="3" borderId="22" xfId="1" applyFont="1" applyFill="1" applyBorder="1" applyAlignment="1">
      <alignment horizontal="center" vertical="center"/>
    </xf>
    <xf numFmtId="43" fontId="37" fillId="3" borderId="25" xfId="1" applyFont="1" applyFill="1" applyBorder="1" applyAlignment="1">
      <alignment horizontal="center" vertical="center"/>
    </xf>
    <xf numFmtId="0" fontId="1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10" fontId="11" fillId="3" borderId="22" xfId="3" applyNumberFormat="1" applyFont="1" applyFill="1" applyBorder="1" applyAlignment="1">
      <alignment vertical="center"/>
    </xf>
    <xf numFmtId="10" fontId="11" fillId="3" borderId="25" xfId="3" applyNumberFormat="1" applyFont="1" applyFill="1" applyBorder="1" applyAlignment="1">
      <alignment vertical="center"/>
    </xf>
    <xf numFmtId="0" fontId="8" fillId="2" borderId="3" xfId="4" applyFont="1" applyFill="1" applyBorder="1" applyAlignment="1">
      <alignment horizontal="center" vertical="center" wrapText="1"/>
    </xf>
    <xf numFmtId="0" fontId="18" fillId="3" borderId="34" xfId="4" applyFont="1" applyFill="1" applyBorder="1" applyAlignment="1">
      <alignment vertical="center" wrapText="1"/>
    </xf>
    <xf numFmtId="0" fontId="18" fillId="3" borderId="36" xfId="4" applyFont="1" applyFill="1" applyBorder="1" applyAlignment="1">
      <alignment vertical="center" wrapText="1"/>
    </xf>
    <xf numFmtId="0" fontId="8" fillId="2" borderId="4" xfId="4" applyFont="1" applyFill="1" applyBorder="1" applyAlignment="1">
      <alignment horizontal="center" vertical="center" wrapText="1"/>
    </xf>
    <xf numFmtId="0" fontId="8" fillId="2" borderId="26" xfId="4" applyFont="1" applyFill="1" applyBorder="1" applyAlignment="1">
      <alignment horizontal="center" vertical="center" wrapText="1"/>
    </xf>
    <xf numFmtId="0" fontId="8" fillId="2" borderId="19" xfId="4" applyFont="1" applyFill="1" applyBorder="1" applyAlignment="1">
      <alignment horizontal="center" vertical="center" wrapText="1"/>
    </xf>
    <xf numFmtId="3" fontId="13" fillId="3" borderId="43" xfId="7" applyNumberFormat="1" applyFont="1" applyFill="1" applyBorder="1" applyAlignment="1" applyProtection="1">
      <alignment horizontal="center" vertical="center" wrapText="1"/>
      <protection locked="0"/>
    </xf>
    <xf numFmtId="0" fontId="17" fillId="3" borderId="13" xfId="0" applyFont="1" applyFill="1" applyBorder="1" applyAlignment="1">
      <alignment wrapText="1"/>
    </xf>
    <xf numFmtId="2" fontId="27" fillId="3" borderId="70" xfId="0" applyNumberFormat="1" applyFont="1" applyFill="1" applyBorder="1" applyAlignment="1">
      <alignment wrapText="1"/>
    </xf>
    <xf numFmtId="44" fontId="27" fillId="3" borderId="21" xfId="2" applyFont="1" applyFill="1" applyBorder="1" applyAlignment="1">
      <alignment wrapText="1"/>
    </xf>
    <xf numFmtId="0" fontId="17" fillId="3" borderId="14" xfId="0" applyFont="1" applyFill="1" applyBorder="1" applyAlignment="1">
      <alignment wrapText="1"/>
    </xf>
    <xf numFmtId="0" fontId="28" fillId="3" borderId="27" xfId="0" applyFont="1" applyFill="1" applyBorder="1" applyAlignment="1">
      <alignment wrapText="1"/>
    </xf>
    <xf numFmtId="44" fontId="28" fillId="3" borderId="28" xfId="0" applyNumberFormat="1" applyFont="1" applyFill="1" applyBorder="1" applyAlignment="1">
      <alignment wrapText="1"/>
    </xf>
    <xf numFmtId="43" fontId="29" fillId="3" borderId="9" xfId="1" applyFont="1" applyFill="1" applyBorder="1" applyAlignment="1">
      <alignment wrapText="1"/>
    </xf>
    <xf numFmtId="44" fontId="27" fillId="3" borderId="22" xfId="2" applyFont="1" applyFill="1" applyBorder="1" applyAlignment="1">
      <alignment wrapText="1"/>
    </xf>
    <xf numFmtId="44" fontId="29" fillId="3" borderId="22" xfId="2" applyFont="1" applyFill="1" applyBorder="1" applyAlignment="1">
      <alignment wrapText="1"/>
    </xf>
    <xf numFmtId="43" fontId="28" fillId="3" borderId="9" xfId="1" applyFont="1" applyFill="1" applyBorder="1" applyAlignment="1">
      <alignment wrapText="1"/>
    </xf>
    <xf numFmtId="44" fontId="28" fillId="3" borderId="22" xfId="2" applyFont="1" applyFill="1" applyBorder="1" applyAlignment="1">
      <alignment vertical="center" wrapText="1"/>
    </xf>
    <xf numFmtId="10" fontId="28" fillId="3" borderId="9" xfId="3" applyNumberFormat="1" applyFont="1" applyFill="1" applyBorder="1" applyAlignment="1">
      <alignment wrapText="1"/>
    </xf>
    <xf numFmtId="44" fontId="28" fillId="3" borderId="29" xfId="2" applyFont="1" applyFill="1" applyBorder="1" applyAlignment="1">
      <alignment wrapText="1"/>
    </xf>
    <xf numFmtId="44" fontId="28" fillId="3" borderId="22" xfId="2" applyFont="1" applyFill="1" applyBorder="1" applyAlignment="1">
      <alignment wrapText="1"/>
    </xf>
    <xf numFmtId="0" fontId="28" fillId="3" borderId="28" xfId="0" applyFont="1" applyFill="1" applyBorder="1" applyAlignment="1">
      <alignment wrapText="1"/>
    </xf>
    <xf numFmtId="43" fontId="27" fillId="3" borderId="9" xfId="1" applyFont="1" applyFill="1" applyBorder="1" applyAlignment="1">
      <alignment wrapText="1"/>
    </xf>
    <xf numFmtId="43" fontId="27" fillId="3" borderId="9" xfId="1" applyFont="1" applyFill="1" applyBorder="1" applyAlignment="1">
      <alignment vertical="center" wrapText="1"/>
    </xf>
    <xf numFmtId="0" fontId="23" fillId="3" borderId="15" xfId="0" applyFont="1" applyFill="1" applyBorder="1" applyAlignment="1">
      <alignment wrapText="1"/>
    </xf>
    <xf numFmtId="43" fontId="27" fillId="3" borderId="30" xfId="1" applyFont="1" applyFill="1" applyBorder="1" applyAlignment="1">
      <alignment vertical="center" wrapText="1"/>
    </xf>
    <xf numFmtId="44" fontId="27" fillId="3" borderId="25" xfId="2" applyFont="1" applyFill="1" applyBorder="1" applyAlignment="1">
      <alignment wrapText="1"/>
    </xf>
    <xf numFmtId="0" fontId="8" fillId="2" borderId="17" xfId="4" applyFont="1" applyFill="1" applyBorder="1" applyAlignment="1">
      <alignment horizontal="center" vertical="center" wrapText="1"/>
    </xf>
    <xf numFmtId="0" fontId="23" fillId="3" borderId="20" xfId="0" applyFont="1" applyFill="1" applyBorder="1" applyAlignment="1">
      <alignment wrapText="1"/>
    </xf>
    <xf numFmtId="0" fontId="23" fillId="3" borderId="23" xfId="0" applyFont="1" applyFill="1" applyBorder="1" applyAlignment="1">
      <alignment wrapText="1"/>
    </xf>
    <xf numFmtId="0" fontId="8" fillId="2" borderId="18" xfId="4" applyFont="1" applyFill="1" applyBorder="1" applyAlignment="1">
      <alignment horizontal="center" vertical="center" wrapText="1"/>
    </xf>
    <xf numFmtId="0" fontId="0" fillId="3" borderId="57" xfId="0" applyFill="1" applyBorder="1" applyAlignment="1">
      <alignment vertical="center" wrapText="1"/>
    </xf>
    <xf numFmtId="0" fontId="27" fillId="3" borderId="53" xfId="0" applyFont="1" applyFill="1" applyBorder="1" applyAlignment="1">
      <alignment vertical="center" wrapText="1"/>
    </xf>
    <xf numFmtId="44" fontId="0" fillId="3" borderId="57" xfId="2" applyFont="1" applyFill="1" applyBorder="1" applyAlignment="1">
      <alignment vertical="center" wrapText="1"/>
    </xf>
    <xf numFmtId="44" fontId="27" fillId="3" borderId="53" xfId="2" applyFont="1" applyFill="1" applyBorder="1" applyAlignment="1">
      <alignment vertical="center" wrapText="1"/>
    </xf>
    <xf numFmtId="0" fontId="0" fillId="3" borderId="56" xfId="0" applyFill="1" applyBorder="1" applyAlignment="1">
      <alignment vertical="center" wrapText="1"/>
    </xf>
    <xf numFmtId="44" fontId="27" fillId="3" borderId="2" xfId="2" applyFont="1" applyFill="1" applyBorder="1" applyAlignment="1">
      <alignment vertical="center" wrapText="1"/>
    </xf>
    <xf numFmtId="0" fontId="0" fillId="3" borderId="11" xfId="0" applyFill="1" applyBorder="1" applyAlignment="1">
      <alignment vertical="center" wrapText="1"/>
    </xf>
    <xf numFmtId="44" fontId="27" fillId="3" borderId="1" xfId="2" applyFont="1" applyFill="1" applyBorder="1" applyAlignment="1">
      <alignment vertical="center" wrapText="1"/>
    </xf>
    <xf numFmtId="0" fontId="0" fillId="3" borderId="55" xfId="0" applyFill="1" applyBorder="1" applyAlignment="1">
      <alignment vertical="center" wrapText="1"/>
    </xf>
    <xf numFmtId="44" fontId="30" fillId="3" borderId="55" xfId="2" applyFont="1" applyFill="1" applyBorder="1" applyAlignment="1">
      <alignment vertical="center" wrapText="1"/>
    </xf>
    <xf numFmtId="44" fontId="27" fillId="3" borderId="55" xfId="2" applyFont="1" applyFill="1" applyBorder="1" applyAlignment="1">
      <alignment vertical="center" wrapText="1"/>
    </xf>
    <xf numFmtId="43" fontId="27" fillId="3" borderId="2" xfId="1" applyFont="1" applyFill="1" applyBorder="1" applyAlignment="1">
      <alignment wrapText="1"/>
    </xf>
    <xf numFmtId="0" fontId="27" fillId="3" borderId="2" xfId="0" applyFont="1" applyFill="1" applyBorder="1" applyAlignment="1">
      <alignment wrapText="1"/>
    </xf>
    <xf numFmtId="44" fontId="27" fillId="3" borderId="2" xfId="2" applyFont="1" applyFill="1" applyBorder="1" applyAlignment="1">
      <alignment wrapText="1"/>
    </xf>
    <xf numFmtId="43" fontId="27" fillId="3" borderId="1" xfId="1" applyFont="1" applyFill="1" applyBorder="1" applyAlignment="1">
      <alignment wrapText="1"/>
    </xf>
    <xf numFmtId="0" fontId="27" fillId="3" borderId="1" xfId="0" applyFont="1" applyFill="1" applyBorder="1" applyAlignment="1">
      <alignment wrapText="1"/>
    </xf>
    <xf numFmtId="44" fontId="27" fillId="3" borderId="1" xfId="2" applyFont="1" applyFill="1" applyBorder="1" applyAlignment="1">
      <alignment wrapText="1"/>
    </xf>
    <xf numFmtId="43" fontId="27" fillId="3" borderId="24" xfId="1" applyFont="1" applyFill="1" applyBorder="1" applyAlignment="1">
      <alignment wrapText="1"/>
    </xf>
    <xf numFmtId="0" fontId="27" fillId="3" borderId="24" xfId="0" applyFont="1" applyFill="1" applyBorder="1" applyAlignment="1">
      <alignment wrapText="1"/>
    </xf>
    <xf numFmtId="44" fontId="27" fillId="3" borderId="24" xfId="2" applyFont="1" applyFill="1" applyBorder="1" applyAlignment="1">
      <alignment wrapText="1"/>
    </xf>
    <xf numFmtId="44" fontId="27" fillId="3" borderId="24" xfId="2" applyFont="1" applyFill="1" applyBorder="1" applyAlignment="1">
      <alignment vertical="center" wrapText="1"/>
    </xf>
    <xf numFmtId="0" fontId="23" fillId="3" borderId="51" xfId="0" applyFont="1" applyFill="1" applyBorder="1" applyAlignment="1">
      <alignment wrapText="1"/>
    </xf>
    <xf numFmtId="0" fontId="27" fillId="3" borderId="58"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15" fillId="3" borderId="20" xfId="4" applyFont="1" applyFill="1" applyBorder="1" applyAlignment="1">
      <alignment vertical="center" wrapText="1"/>
    </xf>
    <xf numFmtId="0" fontId="15" fillId="3" borderId="34" xfId="4" applyFont="1" applyFill="1" applyBorder="1" applyAlignment="1">
      <alignment vertical="center" wrapText="1"/>
    </xf>
    <xf numFmtId="0" fontId="15" fillId="3" borderId="62" xfId="4" applyFont="1" applyFill="1" applyBorder="1" applyAlignment="1">
      <alignment vertical="center" wrapText="1"/>
    </xf>
    <xf numFmtId="0" fontId="0" fillId="3" borderId="68" xfId="0" applyFill="1" applyBorder="1" applyAlignment="1">
      <alignment wrapText="1"/>
    </xf>
    <xf numFmtId="44" fontId="5" fillId="3" borderId="22" xfId="2" applyFont="1" applyFill="1" applyBorder="1" applyAlignment="1">
      <alignment horizontal="left" vertical="center" wrapText="1"/>
    </xf>
    <xf numFmtId="44" fontId="5" fillId="3" borderId="49" xfId="2" applyFont="1" applyFill="1" applyBorder="1" applyAlignment="1">
      <alignment horizontal="left" vertical="center" wrapText="1"/>
    </xf>
    <xf numFmtId="44" fontId="5" fillId="3" borderId="64" xfId="2" applyFont="1" applyFill="1" applyBorder="1" applyAlignment="1">
      <alignment horizontal="left" vertical="center" wrapText="1"/>
    </xf>
    <xf numFmtId="0" fontId="0" fillId="3" borderId="69" xfId="0" applyFill="1" applyBorder="1" applyAlignment="1">
      <alignment wrapText="1"/>
    </xf>
    <xf numFmtId="0" fontId="8" fillId="2" borderId="65" xfId="4"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46" fillId="0" borderId="0" xfId="0" applyFont="1" applyAlignment="1">
      <alignment vertical="center"/>
    </xf>
    <xf numFmtId="3" fontId="38" fillId="3" borderId="85" xfId="7" applyNumberFormat="1" applyFont="1" applyFill="1" applyBorder="1" applyAlignment="1" applyProtection="1">
      <alignment horizontal="center" vertical="center"/>
      <protection locked="0"/>
    </xf>
    <xf numFmtId="0" fontId="0" fillId="0" borderId="76" xfId="0" applyBorder="1" applyAlignment="1">
      <alignment horizontal="center" vertical="center"/>
    </xf>
    <xf numFmtId="0" fontId="5" fillId="3" borderId="36" xfId="4" applyFont="1" applyFill="1" applyBorder="1" applyAlignment="1">
      <alignment horizontal="left" vertical="center" wrapText="1"/>
    </xf>
    <xf numFmtId="0" fontId="37" fillId="3" borderId="22" xfId="7" applyNumberFormat="1" applyFont="1" applyFill="1" applyBorder="1" applyAlignment="1" applyProtection="1">
      <alignment horizontal="center" vertical="center"/>
    </xf>
    <xf numFmtId="165" fontId="0" fillId="3" borderId="0" xfId="0" applyNumberFormat="1" applyFill="1"/>
    <xf numFmtId="165" fontId="5" fillId="3" borderId="86" xfId="4" applyNumberFormat="1" applyFont="1" applyFill="1" applyBorder="1" applyAlignment="1" applyProtection="1">
      <alignment horizontal="center" vertical="center"/>
      <protection locked="0"/>
    </xf>
    <xf numFmtId="0" fontId="5" fillId="3" borderId="87" xfId="4" applyFont="1" applyFill="1" applyBorder="1" applyAlignment="1">
      <alignment horizontal="left" vertical="center" wrapText="1"/>
    </xf>
    <xf numFmtId="0" fontId="0" fillId="3" borderId="88" xfId="0" applyFill="1" applyBorder="1"/>
    <xf numFmtId="0" fontId="0" fillId="3" borderId="89" xfId="0" applyFill="1" applyBorder="1"/>
    <xf numFmtId="169" fontId="49" fillId="9" borderId="90" xfId="7" applyNumberFormat="1" applyFont="1" applyFill="1" applyBorder="1" applyAlignment="1">
      <alignment horizontal="center" vertical="center"/>
    </xf>
    <xf numFmtId="2" fontId="40" fillId="3" borderId="91" xfId="0" applyNumberFormat="1" applyFont="1" applyFill="1" applyBorder="1" applyAlignment="1">
      <alignment horizontal="center" vertical="center"/>
    </xf>
    <xf numFmtId="164" fontId="0" fillId="3" borderId="92" xfId="7" applyFont="1" applyFill="1" applyBorder="1" applyAlignment="1">
      <alignment vertical="center"/>
    </xf>
    <xf numFmtId="0" fontId="0" fillId="3" borderId="93" xfId="0" applyFill="1" applyBorder="1" applyAlignment="1">
      <alignment vertical="center"/>
    </xf>
    <xf numFmtId="0" fontId="9" fillId="2" borderId="0" xfId="0" applyFont="1" applyFill="1" applyAlignment="1">
      <alignment vertical="center"/>
    </xf>
    <xf numFmtId="0" fontId="50" fillId="10" borderId="94" xfId="4" applyFont="1" applyFill="1" applyBorder="1" applyAlignment="1">
      <alignment vertical="center" wrapText="1"/>
    </xf>
    <xf numFmtId="164" fontId="0" fillId="3" borderId="95" xfId="7" applyFont="1" applyFill="1" applyBorder="1"/>
    <xf numFmtId="0" fontId="0" fillId="3" borderId="96" xfId="0" applyFill="1" applyBorder="1"/>
    <xf numFmtId="0" fontId="45" fillId="0" borderId="0" xfId="0" applyFont="1"/>
    <xf numFmtId="165" fontId="3" fillId="3" borderId="97" xfId="0" applyNumberFormat="1" applyFont="1" applyFill="1" applyBorder="1" applyAlignment="1">
      <alignment vertical="center"/>
    </xf>
    <xf numFmtId="0" fontId="52" fillId="3" borderId="98" xfId="0" applyFont="1" applyFill="1" applyBorder="1" applyAlignment="1">
      <alignment vertical="center" wrapText="1"/>
    </xf>
    <xf numFmtId="44" fontId="53" fillId="9" borderId="72" xfId="0" applyNumberFormat="1" applyFont="1" applyFill="1" applyBorder="1" applyAlignment="1">
      <alignment horizontal="center" vertical="center"/>
    </xf>
    <xf numFmtId="44" fontId="39" fillId="3" borderId="91" xfId="0" applyNumberFormat="1" applyFont="1" applyFill="1" applyBorder="1" applyAlignment="1">
      <alignment horizontal="center" vertical="center"/>
    </xf>
    <xf numFmtId="164" fontId="0" fillId="3" borderId="88" xfId="7" applyFont="1" applyFill="1" applyBorder="1"/>
    <xf numFmtId="165" fontId="0" fillId="3" borderId="99" xfId="0" applyNumberFormat="1" applyFill="1" applyBorder="1"/>
    <xf numFmtId="0" fontId="5" fillId="3" borderId="100" xfId="4" applyFont="1" applyFill="1" applyBorder="1" applyAlignment="1">
      <alignment horizontal="left" vertical="center" wrapText="1"/>
    </xf>
    <xf numFmtId="0" fontId="50" fillId="10" borderId="0" xfId="4" applyFont="1" applyFill="1" applyAlignment="1">
      <alignment vertical="center" wrapText="1"/>
    </xf>
    <xf numFmtId="0" fontId="8" fillId="2" borderId="0" xfId="0" applyFont="1" applyFill="1" applyAlignment="1">
      <alignment horizontal="center" vertical="center"/>
    </xf>
    <xf numFmtId="165" fontId="0" fillId="3" borderId="86" xfId="0" applyNumberFormat="1" applyFill="1" applyBorder="1" applyAlignment="1">
      <alignment vertical="center"/>
    </xf>
    <xf numFmtId="0" fontId="5" fillId="3" borderId="100" xfId="4" applyFont="1" applyFill="1" applyBorder="1" applyAlignment="1">
      <alignment horizontal="left" vertical="center"/>
    </xf>
    <xf numFmtId="164" fontId="3" fillId="3" borderId="97" xfId="0" applyNumberFormat="1" applyFont="1" applyFill="1" applyBorder="1"/>
    <xf numFmtId="0" fontId="3" fillId="3" borderId="98" xfId="0" applyFont="1" applyFill="1" applyBorder="1"/>
    <xf numFmtId="0" fontId="5" fillId="3" borderId="86" xfId="4" applyFont="1" applyFill="1" applyBorder="1" applyAlignment="1" applyProtection="1">
      <alignment horizontal="center" vertical="center"/>
      <protection locked="0"/>
    </xf>
    <xf numFmtId="0" fontId="5" fillId="3" borderId="87" xfId="4" applyFont="1" applyFill="1" applyBorder="1" applyAlignment="1">
      <alignment horizontal="left" vertical="center"/>
    </xf>
    <xf numFmtId="2" fontId="37" fillId="3" borderId="101" xfId="3" applyNumberFormat="1" applyFont="1" applyFill="1" applyBorder="1" applyAlignment="1">
      <alignment horizontal="center" vertical="center"/>
    </xf>
    <xf numFmtId="0" fontId="16" fillId="3" borderId="102" xfId="0" applyFont="1" applyFill="1" applyBorder="1"/>
    <xf numFmtId="0" fontId="0" fillId="3" borderId="103" xfId="0" applyFill="1" applyBorder="1"/>
    <xf numFmtId="165" fontId="0" fillId="3" borderId="77" xfId="0" applyNumberFormat="1" applyFill="1" applyBorder="1"/>
    <xf numFmtId="0" fontId="5" fillId="3" borderId="104" xfId="4" applyFont="1" applyFill="1" applyBorder="1" applyAlignment="1">
      <alignment horizontal="left" vertical="center"/>
    </xf>
    <xf numFmtId="0" fontId="5" fillId="3" borderId="105" xfId="4" applyFont="1" applyFill="1" applyBorder="1" applyAlignment="1">
      <alignment horizontal="left" vertical="center" wrapText="1"/>
    </xf>
    <xf numFmtId="2" fontId="37" fillId="3" borderId="106" xfId="3" applyNumberFormat="1" applyFont="1" applyFill="1" applyBorder="1" applyAlignment="1">
      <alignment horizontal="center" vertical="center"/>
    </xf>
    <xf numFmtId="0" fontId="5" fillId="3" borderId="107" xfId="4" applyFont="1" applyFill="1" applyBorder="1" applyAlignment="1">
      <alignment horizontal="left" vertical="center" wrapText="1"/>
    </xf>
    <xf numFmtId="9" fontId="5" fillId="3" borderId="106" xfId="3" applyFont="1" applyFill="1" applyBorder="1" applyAlignment="1">
      <alignment horizontal="center" vertical="center"/>
    </xf>
    <xf numFmtId="0" fontId="5" fillId="3" borderId="107" xfId="4" applyFont="1" applyFill="1" applyBorder="1" applyAlignment="1">
      <alignment horizontal="left" vertical="center"/>
    </xf>
    <xf numFmtId="0" fontId="8" fillId="2" borderId="0" xfId="4" applyFont="1" applyFill="1" applyAlignment="1">
      <alignment vertical="center"/>
    </xf>
    <xf numFmtId="166" fontId="37" fillId="3" borderId="86" xfId="7" applyNumberFormat="1" applyFont="1" applyFill="1" applyBorder="1" applyAlignment="1" applyProtection="1">
      <alignment horizontal="center" vertical="center"/>
      <protection locked="0"/>
    </xf>
    <xf numFmtId="9" fontId="37" fillId="3" borderId="106" xfId="3" applyFont="1" applyFill="1" applyBorder="1" applyAlignment="1">
      <alignment horizontal="center" vertical="center"/>
    </xf>
    <xf numFmtId="3" fontId="38" fillId="3" borderId="108" xfId="7" applyNumberFormat="1" applyFont="1" applyFill="1" applyBorder="1" applyAlignment="1" applyProtection="1">
      <alignment horizontal="center" vertical="center"/>
      <protection locked="0"/>
    </xf>
    <xf numFmtId="0" fontId="12" fillId="11" borderId="109" xfId="4" applyFont="1" applyFill="1" applyBorder="1" applyAlignment="1">
      <alignment vertical="center"/>
    </xf>
    <xf numFmtId="0" fontId="12" fillId="11" borderId="109" xfId="4" applyFont="1" applyFill="1" applyBorder="1" applyAlignment="1">
      <alignment vertical="center" wrapText="1"/>
    </xf>
    <xf numFmtId="9" fontId="37" fillId="3" borderId="92" xfId="3" applyFont="1" applyFill="1" applyBorder="1" applyAlignment="1">
      <alignment horizontal="center" vertical="center"/>
    </xf>
    <xf numFmtId="0" fontId="5" fillId="3" borderId="84" xfId="4" applyFont="1" applyFill="1" applyBorder="1" applyAlignment="1">
      <alignment vertical="center" wrapText="1"/>
    </xf>
    <xf numFmtId="9" fontId="37" fillId="3" borderId="88" xfId="3" applyFont="1" applyFill="1" applyBorder="1" applyAlignment="1">
      <alignment horizontal="center" vertical="center"/>
    </xf>
    <xf numFmtId="0" fontId="5" fillId="3" borderId="84" xfId="4" applyFont="1" applyFill="1" applyBorder="1" applyAlignment="1">
      <alignment horizontal="left" vertical="center"/>
    </xf>
    <xf numFmtId="0" fontId="3" fillId="11" borderId="112" xfId="0" applyFont="1" applyFill="1" applyBorder="1"/>
    <xf numFmtId="0" fontId="54" fillId="11" borderId="113" xfId="0" applyFont="1" applyFill="1" applyBorder="1"/>
    <xf numFmtId="0" fontId="20" fillId="2" borderId="0" xfId="4" applyFont="1" applyFill="1" applyAlignment="1">
      <alignment vertical="center"/>
    </xf>
    <xf numFmtId="0" fontId="55" fillId="2" borderId="0" xfId="4" applyFont="1" applyFill="1" applyAlignment="1">
      <alignment vertical="center"/>
    </xf>
    <xf numFmtId="44" fontId="5" fillId="3" borderId="1" xfId="7" applyNumberFormat="1" applyFont="1" applyFill="1" applyBorder="1" applyAlignment="1" applyProtection="1">
      <alignment horizontal="center" vertical="center"/>
      <protection locked="0"/>
    </xf>
    <xf numFmtId="0" fontId="5" fillId="3" borderId="1" xfId="4" applyFont="1" applyFill="1" applyBorder="1" applyAlignment="1">
      <alignment horizontal="left" vertical="center"/>
    </xf>
    <xf numFmtId="0" fontId="5" fillId="3" borderId="1" xfId="7" applyNumberFormat="1" applyFont="1" applyFill="1" applyBorder="1" applyAlignment="1" applyProtection="1">
      <alignment horizontal="center" vertical="center"/>
      <protection locked="0"/>
    </xf>
    <xf numFmtId="0" fontId="56" fillId="11" borderId="113" xfId="0" applyFont="1" applyFill="1" applyBorder="1"/>
    <xf numFmtId="0" fontId="5" fillId="3" borderId="1" xfId="4" applyFont="1" applyFill="1" applyBorder="1" applyAlignment="1" applyProtection="1">
      <alignment horizontal="center" vertical="center"/>
      <protection locked="0"/>
    </xf>
    <xf numFmtId="44" fontId="5" fillId="3" borderId="1" xfId="3" applyNumberFormat="1" applyFont="1" applyFill="1" applyBorder="1" applyAlignment="1">
      <alignment horizontal="center" vertical="center"/>
    </xf>
    <xf numFmtId="0" fontId="5" fillId="3" borderId="1" xfId="4" applyFont="1" applyFill="1" applyBorder="1" applyAlignment="1">
      <alignment vertical="center"/>
    </xf>
    <xf numFmtId="9" fontId="37" fillId="3" borderId="1" xfId="3" applyFont="1" applyFill="1" applyBorder="1" applyAlignment="1">
      <alignment horizontal="center" vertical="center"/>
    </xf>
    <xf numFmtId="44" fontId="17" fillId="0" borderId="114" xfId="0" applyNumberFormat="1" applyFont="1" applyBorder="1" applyAlignment="1">
      <alignment vertical="center"/>
    </xf>
    <xf numFmtId="44" fontId="18" fillId="0" borderId="115" xfId="4" applyNumberFormat="1" applyFont="1" applyBorder="1" applyAlignment="1">
      <alignment vertical="center"/>
    </xf>
    <xf numFmtId="0" fontId="18" fillId="0" borderId="116" xfId="4" applyFont="1" applyBorder="1" applyAlignment="1">
      <alignment vertical="center"/>
    </xf>
    <xf numFmtId="0" fontId="17" fillId="0" borderId="116" xfId="0" applyFont="1" applyBorder="1"/>
    <xf numFmtId="0" fontId="17" fillId="0" borderId="117" xfId="0" applyFont="1" applyBorder="1" applyAlignment="1">
      <alignment vertical="center" wrapText="1"/>
    </xf>
    <xf numFmtId="44" fontId="0" fillId="0" borderId="118" xfId="0" applyNumberFormat="1" applyBorder="1"/>
    <xf numFmtId="44" fontId="40" fillId="0" borderId="119" xfId="2" applyFont="1" applyBorder="1"/>
    <xf numFmtId="0" fontId="40" fillId="0" borderId="119" xfId="0" applyFont="1" applyBorder="1"/>
    <xf numFmtId="0" fontId="0" fillId="0" borderId="120" xfId="0" applyBorder="1" applyAlignment="1">
      <alignment vertical="center" wrapText="1"/>
    </xf>
    <xf numFmtId="44" fontId="0" fillId="0" borderId="121" xfId="0" applyNumberFormat="1" applyBorder="1"/>
    <xf numFmtId="44" fontId="40" fillId="0" borderId="105" xfId="2" applyFont="1" applyBorder="1"/>
    <xf numFmtId="0" fontId="40" fillId="0" borderId="105" xfId="0" applyFont="1" applyBorder="1"/>
    <xf numFmtId="0" fontId="0" fillId="0" borderId="122" xfId="0" applyBorder="1" applyAlignment="1">
      <alignment vertical="center" wrapText="1"/>
    </xf>
    <xf numFmtId="44" fontId="0" fillId="0" borderId="123" xfId="0" applyNumberFormat="1" applyBorder="1"/>
    <xf numFmtId="44" fontId="40" fillId="0" borderId="91" xfId="2" applyFont="1" applyBorder="1"/>
    <xf numFmtId="0" fontId="40" fillId="0" borderId="91" xfId="0" applyFont="1" applyBorder="1"/>
    <xf numFmtId="0" fontId="0" fillId="0" borderId="124" xfId="0" applyBorder="1" applyAlignment="1">
      <alignment vertical="center" wrapText="1"/>
    </xf>
    <xf numFmtId="166" fontId="3" fillId="3" borderId="97" xfId="0" applyNumberFormat="1" applyFont="1" applyFill="1" applyBorder="1"/>
    <xf numFmtId="44" fontId="0" fillId="0" borderId="125" xfId="0" applyNumberFormat="1" applyBorder="1"/>
    <xf numFmtId="44" fontId="40" fillId="0" borderId="126" xfId="2" applyFont="1" applyBorder="1"/>
    <xf numFmtId="43" fontId="40" fillId="0" borderId="126" xfId="0" applyNumberFormat="1" applyFont="1" applyBorder="1"/>
    <xf numFmtId="0" fontId="0" fillId="0" borderId="127" xfId="0" applyBorder="1" applyAlignment="1">
      <alignment vertical="center" wrapText="1"/>
    </xf>
    <xf numFmtId="164" fontId="5" fillId="3" borderId="128" xfId="7" applyFont="1" applyFill="1" applyBorder="1" applyAlignment="1">
      <alignment horizontal="center" vertical="center"/>
    </xf>
    <xf numFmtId="0" fontId="0" fillId="3" borderId="78" xfId="0" applyFill="1" applyBorder="1" applyAlignment="1">
      <alignment wrapText="1"/>
    </xf>
    <xf numFmtId="0" fontId="8" fillId="2" borderId="129" xfId="4" applyFont="1" applyFill="1" applyBorder="1" applyAlignment="1">
      <alignment vertical="center" wrapText="1"/>
    </xf>
    <xf numFmtId="0" fontId="8" fillId="2" borderId="130" xfId="4" applyFont="1" applyFill="1" applyBorder="1" applyAlignment="1">
      <alignment vertical="center"/>
    </xf>
    <xf numFmtId="164" fontId="16" fillId="3" borderId="82" xfId="0" applyNumberFormat="1" applyFont="1" applyFill="1" applyBorder="1" applyAlignment="1">
      <alignment vertical="center"/>
    </xf>
    <xf numFmtId="0" fontId="0" fillId="3" borderId="84" xfId="0" applyFill="1" applyBorder="1" applyAlignment="1">
      <alignment wrapText="1"/>
    </xf>
    <xf numFmtId="164" fontId="5" fillId="3" borderId="131" xfId="7" applyFont="1" applyFill="1" applyBorder="1" applyAlignment="1">
      <alignment horizontal="center" vertical="center"/>
    </xf>
    <xf numFmtId="49" fontId="37" fillId="3" borderId="1" xfId="7" applyNumberFormat="1" applyFont="1" applyFill="1" applyBorder="1" applyAlignment="1" applyProtection="1">
      <alignment horizontal="center" vertical="center"/>
    </xf>
    <xf numFmtId="10" fontId="5" fillId="3" borderId="1" xfId="3" applyNumberFormat="1" applyFont="1" applyFill="1" applyBorder="1" applyAlignment="1">
      <alignment vertical="center"/>
    </xf>
    <xf numFmtId="44" fontId="10" fillId="0" borderId="2" xfId="3" applyNumberFormat="1" applyFont="1" applyFill="1" applyBorder="1" applyAlignment="1">
      <alignment horizontal="center" vertical="center"/>
    </xf>
    <xf numFmtId="0" fontId="5" fillId="0" borderId="2" xfId="4" applyFont="1" applyBorder="1" applyAlignment="1">
      <alignment horizontal="left" vertical="center"/>
    </xf>
    <xf numFmtId="0" fontId="37" fillId="3" borderId="1" xfId="7" applyNumberFormat="1" applyFont="1" applyFill="1" applyBorder="1" applyAlignment="1" applyProtection="1">
      <alignment horizontal="center" vertical="center"/>
    </xf>
    <xf numFmtId="10" fontId="12" fillId="3" borderId="132" xfId="3" applyNumberFormat="1" applyFont="1" applyFill="1" applyBorder="1" applyAlignment="1">
      <alignment horizontal="center" vertical="center"/>
    </xf>
    <xf numFmtId="0" fontId="12" fillId="3" borderId="133" xfId="4" applyFont="1" applyFill="1" applyBorder="1" applyAlignment="1">
      <alignment horizontal="left" vertical="center"/>
    </xf>
    <xf numFmtId="0" fontId="38" fillId="3" borderId="1" xfId="7" applyNumberFormat="1" applyFont="1" applyFill="1" applyBorder="1" applyAlignment="1" applyProtection="1">
      <alignment horizontal="center" vertical="center"/>
    </xf>
    <xf numFmtId="10" fontId="38" fillId="3" borderId="1" xfId="3" applyNumberFormat="1" applyFont="1" applyFill="1" applyBorder="1" applyAlignment="1">
      <alignment vertical="center"/>
    </xf>
    <xf numFmtId="10" fontId="37" fillId="3" borderId="134" xfId="2" applyNumberFormat="1" applyFont="1" applyFill="1" applyBorder="1" applyAlignment="1">
      <alignment horizontal="center" vertical="center"/>
    </xf>
    <xf numFmtId="0" fontId="5" fillId="3" borderId="135" xfId="4" applyFont="1" applyFill="1" applyBorder="1" applyAlignment="1">
      <alignment horizontal="left" vertical="center" wrapText="1"/>
    </xf>
    <xf numFmtId="10" fontId="37" fillId="3" borderId="136" xfId="2" applyNumberFormat="1" applyFont="1" applyFill="1" applyBorder="1" applyAlignment="1">
      <alignment horizontal="center" vertical="center"/>
    </xf>
    <xf numFmtId="0" fontId="5" fillId="3" borderId="104" xfId="4" applyFont="1" applyFill="1" applyBorder="1" applyAlignment="1">
      <alignment horizontal="left" vertical="center" wrapText="1"/>
    </xf>
    <xf numFmtId="10" fontId="37" fillId="3" borderId="106" xfId="2" applyNumberFormat="1" applyFont="1" applyFill="1" applyBorder="1" applyAlignment="1">
      <alignment horizontal="center" vertical="center"/>
    </xf>
    <xf numFmtId="9" fontId="15" fillId="0" borderId="0" xfId="3" applyFont="1"/>
    <xf numFmtId="0" fontId="5" fillId="3" borderId="0" xfId="4" applyFont="1" applyFill="1" applyAlignment="1">
      <alignment horizontal="left" vertical="center"/>
    </xf>
    <xf numFmtId="9" fontId="0" fillId="0" borderId="0" xfId="3" applyFont="1"/>
    <xf numFmtId="165" fontId="37" fillId="3" borderId="1" xfId="2" applyNumberFormat="1" applyFont="1" applyFill="1" applyBorder="1" applyAlignment="1">
      <alignment horizontal="center" vertical="center"/>
    </xf>
    <xf numFmtId="10" fontId="5" fillId="3" borderId="1" xfId="3" applyNumberFormat="1" applyFont="1" applyFill="1" applyBorder="1" applyAlignment="1">
      <alignment horizontal="center" vertical="center"/>
    </xf>
    <xf numFmtId="164" fontId="5" fillId="3" borderId="1" xfId="7" applyFont="1" applyFill="1" applyBorder="1" applyAlignment="1">
      <alignment horizontal="center" vertical="center"/>
    </xf>
    <xf numFmtId="44" fontId="37" fillId="3" borderId="1" xfId="2" applyFont="1" applyFill="1" applyBorder="1" applyAlignment="1">
      <alignment horizontal="center" vertical="center"/>
    </xf>
    <xf numFmtId="10" fontId="37" fillId="3" borderId="1" xfId="3" applyNumberFormat="1" applyFont="1" applyFill="1" applyBorder="1" applyAlignment="1">
      <alignment horizontal="center" vertical="center"/>
    </xf>
    <xf numFmtId="166" fontId="5" fillId="3" borderId="1" xfId="7" applyNumberFormat="1" applyFont="1" applyFill="1" applyBorder="1" applyAlignment="1">
      <alignment horizontal="center" vertical="center"/>
    </xf>
    <xf numFmtId="0" fontId="5" fillId="0" borderId="0" xfId="4" applyFont="1" applyAlignment="1">
      <alignment horizontal="right" vertical="center"/>
    </xf>
    <xf numFmtId="165" fontId="5" fillId="3" borderId="0" xfId="2" applyNumberFormat="1" applyFont="1" applyFill="1" applyBorder="1" applyAlignment="1" applyProtection="1">
      <alignment horizontal="right" vertical="center"/>
    </xf>
    <xf numFmtId="165" fontId="38" fillId="3" borderId="86" xfId="2" applyNumberFormat="1" applyFont="1" applyFill="1" applyBorder="1" applyAlignment="1">
      <alignment horizontal="center" vertical="center"/>
    </xf>
    <xf numFmtId="0" fontId="5" fillId="3" borderId="87" xfId="4" applyFont="1" applyFill="1" applyBorder="1" applyAlignment="1">
      <alignment vertical="center" wrapText="1"/>
    </xf>
    <xf numFmtId="165" fontId="5" fillId="3" borderId="1" xfId="2" applyNumberFormat="1" applyFont="1" applyFill="1" applyBorder="1" applyAlignment="1" applyProtection="1">
      <alignment horizontal="right" vertical="center"/>
    </xf>
    <xf numFmtId="166" fontId="5" fillId="0" borderId="0" xfId="4" applyNumberFormat="1" applyFont="1" applyAlignment="1">
      <alignment vertical="center"/>
    </xf>
    <xf numFmtId="164" fontId="5" fillId="12" borderId="136" xfId="7" applyFont="1" applyFill="1" applyBorder="1" applyAlignment="1">
      <alignment horizontal="center" vertical="center"/>
    </xf>
    <xf numFmtId="0" fontId="5" fillId="3" borderId="104" xfId="4" applyFont="1" applyFill="1" applyBorder="1" applyAlignment="1">
      <alignment vertical="center"/>
    </xf>
    <xf numFmtId="10" fontId="5" fillId="3" borderId="1" xfId="3" applyNumberFormat="1" applyFont="1" applyFill="1" applyBorder="1" applyAlignment="1" applyProtection="1">
      <alignment horizontal="center" vertical="center"/>
      <protection locked="0"/>
    </xf>
    <xf numFmtId="166" fontId="57" fillId="5" borderId="106" xfId="7" applyNumberFormat="1" applyFont="1" applyFill="1" applyBorder="1" applyAlignment="1">
      <alignment horizontal="center" vertical="center"/>
    </xf>
    <xf numFmtId="0" fontId="5" fillId="5" borderId="107" xfId="4" applyFont="1" applyFill="1" applyBorder="1" applyAlignment="1">
      <alignment vertical="center"/>
    </xf>
    <xf numFmtId="166" fontId="10" fillId="3" borderId="106" xfId="7" applyNumberFormat="1" applyFont="1" applyFill="1" applyBorder="1" applyAlignment="1">
      <alignment horizontal="center" vertical="center"/>
    </xf>
    <xf numFmtId="0" fontId="5" fillId="3" borderId="1" xfId="4" applyFont="1" applyFill="1" applyBorder="1" applyAlignment="1">
      <alignment horizontal="right" vertical="center"/>
    </xf>
    <xf numFmtId="10" fontId="5" fillId="3" borderId="61" xfId="3" applyNumberFormat="1" applyFont="1" applyFill="1" applyBorder="1" applyAlignment="1">
      <alignment vertical="center"/>
    </xf>
    <xf numFmtId="0" fontId="5" fillId="3" borderId="61" xfId="4" applyFont="1" applyFill="1" applyBorder="1" applyAlignment="1">
      <alignment vertical="center"/>
    </xf>
    <xf numFmtId="10" fontId="37" fillId="3" borderId="1" xfId="4" applyNumberFormat="1" applyFont="1" applyFill="1" applyBorder="1" applyAlignment="1" applyProtection="1">
      <alignment horizontal="center" vertical="center"/>
      <protection locked="0"/>
    </xf>
    <xf numFmtId="10" fontId="38" fillId="3" borderId="2" xfId="3" applyNumberFormat="1" applyFont="1" applyFill="1" applyBorder="1" applyAlignment="1">
      <alignment vertical="center"/>
    </xf>
    <xf numFmtId="0" fontId="5" fillId="3" borderId="2" xfId="4" applyFont="1" applyFill="1" applyBorder="1" applyAlignment="1">
      <alignment vertical="center"/>
    </xf>
    <xf numFmtId="10" fontId="10" fillId="3" borderId="1" xfId="3" applyNumberFormat="1" applyFont="1" applyFill="1" applyBorder="1" applyAlignment="1">
      <alignment horizontal="center" vertical="center"/>
    </xf>
    <xf numFmtId="10" fontId="5" fillId="3" borderId="137" xfId="2" applyNumberFormat="1" applyFont="1" applyFill="1" applyBorder="1" applyAlignment="1">
      <alignment horizontal="center" vertical="center"/>
    </xf>
    <xf numFmtId="0" fontId="5" fillId="3" borderId="138" xfId="4" applyFont="1" applyFill="1" applyBorder="1" applyAlignment="1">
      <alignment vertical="center" wrapText="1"/>
    </xf>
    <xf numFmtId="10" fontId="5" fillId="3" borderId="86" xfId="2" applyNumberFormat="1" applyFont="1" applyFill="1" applyBorder="1" applyAlignment="1">
      <alignment horizontal="center" vertical="center"/>
    </xf>
    <xf numFmtId="0" fontId="5" fillId="3" borderId="87" xfId="4" applyFont="1" applyFill="1" applyBorder="1" applyAlignment="1">
      <alignment vertical="center"/>
    </xf>
    <xf numFmtId="10" fontId="5" fillId="3" borderId="136" xfId="2" applyNumberFormat="1" applyFont="1" applyFill="1" applyBorder="1" applyAlignment="1">
      <alignment horizontal="center" vertical="center"/>
    </xf>
    <xf numFmtId="44" fontId="37" fillId="3" borderId="106" xfId="2" applyFont="1" applyFill="1" applyBorder="1" applyAlignment="1">
      <alignment horizontal="center" vertical="center"/>
    </xf>
    <xf numFmtId="0" fontId="5" fillId="3" borderId="107" xfId="4" applyFont="1" applyFill="1" applyBorder="1" applyAlignment="1">
      <alignment vertical="center"/>
    </xf>
    <xf numFmtId="165" fontId="5" fillId="3" borderId="61" xfId="2" applyNumberFormat="1" applyFont="1" applyFill="1" applyBorder="1" applyAlignment="1">
      <alignment horizontal="center" vertical="center"/>
    </xf>
    <xf numFmtId="3" fontId="10" fillId="3" borderId="1" xfId="7" applyNumberFormat="1" applyFont="1" applyFill="1" applyBorder="1" applyAlignment="1" applyProtection="1">
      <alignment horizontal="center" vertical="center"/>
    </xf>
    <xf numFmtId="0" fontId="5" fillId="3" borderId="1" xfId="4" applyFont="1" applyFill="1" applyBorder="1" applyAlignment="1">
      <alignment horizontal="left" vertical="center" wrapText="1"/>
    </xf>
    <xf numFmtId="165" fontId="5" fillId="3" borderId="1" xfId="2" applyNumberFormat="1" applyFont="1" applyFill="1" applyBorder="1" applyAlignment="1">
      <alignment horizontal="center" vertical="center"/>
    </xf>
    <xf numFmtId="44" fontId="37" fillId="3" borderId="1" xfId="3" applyNumberFormat="1" applyFont="1" applyFill="1" applyBorder="1" applyAlignment="1">
      <alignment horizontal="center" vertical="center"/>
    </xf>
    <xf numFmtId="164" fontId="5" fillId="3" borderId="1" xfId="3" applyNumberFormat="1" applyFont="1" applyFill="1" applyBorder="1" applyAlignment="1">
      <alignment horizontal="center" vertical="center"/>
    </xf>
    <xf numFmtId="3" fontId="37" fillId="3" borderId="1" xfId="7" applyNumberFormat="1" applyFont="1" applyFill="1" applyBorder="1" applyAlignment="1" applyProtection="1">
      <alignment horizontal="center" vertical="center"/>
    </xf>
    <xf numFmtId="3" fontId="37" fillId="3" borderId="1" xfId="7" applyNumberFormat="1" applyFont="1" applyFill="1" applyBorder="1" applyAlignment="1" applyProtection="1">
      <alignment horizontal="center" vertical="center"/>
      <protection locked="0"/>
    </xf>
    <xf numFmtId="170" fontId="37" fillId="3" borderId="1" xfId="3" applyNumberFormat="1" applyFont="1" applyFill="1" applyBorder="1" applyAlignment="1">
      <alignment horizontal="center" vertical="center"/>
    </xf>
    <xf numFmtId="0" fontId="37" fillId="3" borderId="1" xfId="4" applyFont="1" applyFill="1" applyBorder="1" applyAlignment="1" applyProtection="1">
      <alignment horizontal="center" vertical="center"/>
      <protection locked="0"/>
    </xf>
    <xf numFmtId="0" fontId="37" fillId="3" borderId="1" xfId="4" applyFont="1" applyFill="1" applyBorder="1" applyAlignment="1">
      <alignment horizontal="center" vertical="center"/>
    </xf>
    <xf numFmtId="3" fontId="9" fillId="13" borderId="0" xfId="6" applyNumberFormat="1" applyFont="1" applyFill="1" applyAlignment="1">
      <alignment horizontal="center" vertical="center"/>
    </xf>
    <xf numFmtId="0" fontId="8" fillId="2" borderId="0" xfId="6" applyFont="1" applyFill="1" applyAlignment="1">
      <alignment vertical="center"/>
    </xf>
    <xf numFmtId="0" fontId="58" fillId="0" borderId="0" xfId="4" applyFont="1" applyAlignment="1">
      <alignment vertical="center"/>
    </xf>
    <xf numFmtId="10" fontId="0" fillId="0" borderId="76" xfId="3" applyNumberFormat="1" applyFont="1" applyBorder="1"/>
    <xf numFmtId="0" fontId="0" fillId="0" borderId="139" xfId="0" applyBorder="1"/>
    <xf numFmtId="10" fontId="0" fillId="0" borderId="75" xfId="3" applyNumberFormat="1" applyFont="1" applyBorder="1"/>
    <xf numFmtId="10" fontId="0" fillId="0" borderId="5" xfId="3" applyNumberFormat="1" applyFont="1" applyBorder="1"/>
    <xf numFmtId="0" fontId="0" fillId="0" borderId="3" xfId="0" applyBorder="1"/>
    <xf numFmtId="10" fontId="45" fillId="0" borderId="140" xfId="0" applyNumberFormat="1" applyFont="1" applyBorder="1" applyAlignment="1">
      <alignment horizontal="center" vertical="center"/>
    </xf>
    <xf numFmtId="10" fontId="45" fillId="0" borderId="141" xfId="0" applyNumberFormat="1" applyFont="1" applyBorder="1" applyAlignment="1">
      <alignment horizontal="center" vertical="center"/>
    </xf>
    <xf numFmtId="0" fontId="61" fillId="0" borderId="142" xfId="0" applyFont="1" applyBorder="1" applyAlignment="1">
      <alignment horizontal="center" vertical="center"/>
    </xf>
    <xf numFmtId="10" fontId="45" fillId="0" borderId="143" xfId="0" applyNumberFormat="1" applyFont="1" applyBorder="1" applyAlignment="1">
      <alignment horizontal="center" vertical="center"/>
    </xf>
    <xf numFmtId="10" fontId="45" fillId="0" borderId="144" xfId="0" applyNumberFormat="1" applyFont="1" applyBorder="1" applyAlignment="1">
      <alignment horizontal="center" vertical="center"/>
    </xf>
    <xf numFmtId="10" fontId="45" fillId="0" borderId="145" xfId="0" applyNumberFormat="1" applyFont="1" applyBorder="1" applyAlignment="1">
      <alignment horizontal="center" vertical="center"/>
    </xf>
    <xf numFmtId="10" fontId="45" fillId="0" borderId="146" xfId="0" applyNumberFormat="1" applyFont="1" applyBorder="1" applyAlignment="1">
      <alignment horizontal="center" vertical="center"/>
    </xf>
    <xf numFmtId="0" fontId="61" fillId="0" borderId="147" xfId="0" applyFont="1" applyBorder="1" applyAlignment="1">
      <alignment horizontal="center" vertical="center"/>
    </xf>
    <xf numFmtId="10" fontId="45" fillId="0" borderId="148" xfId="0" applyNumberFormat="1" applyFont="1" applyBorder="1" applyAlignment="1">
      <alignment horizontal="center" vertical="center"/>
    </xf>
    <xf numFmtId="10" fontId="45" fillId="0" borderId="149" xfId="0" applyNumberFormat="1" applyFont="1" applyBorder="1" applyAlignment="1">
      <alignment horizontal="center" vertical="center"/>
    </xf>
    <xf numFmtId="10" fontId="45" fillId="0" borderId="150" xfId="0" applyNumberFormat="1" applyFont="1" applyBorder="1" applyAlignment="1">
      <alignment horizontal="center" vertical="center"/>
    </xf>
    <xf numFmtId="0" fontId="61" fillId="0" borderId="151" xfId="0" applyFont="1" applyBorder="1" applyAlignment="1">
      <alignment horizontal="center" vertical="center"/>
    </xf>
    <xf numFmtId="171" fontId="61" fillId="0" borderId="152" xfId="0" applyNumberFormat="1" applyFont="1" applyBorder="1" applyAlignment="1">
      <alignment horizontal="center" vertical="center" wrapText="1"/>
    </xf>
    <xf numFmtId="171" fontId="61" fillId="0" borderId="153" xfId="0" applyNumberFormat="1" applyFont="1" applyBorder="1" applyAlignment="1">
      <alignment horizontal="center" vertical="center" wrapText="1"/>
    </xf>
    <xf numFmtId="171" fontId="61" fillId="0" borderId="152" xfId="0" applyNumberFormat="1" applyFont="1" applyBorder="1" applyAlignment="1">
      <alignment horizontal="center" vertical="center"/>
    </xf>
    <xf numFmtId="171" fontId="61" fillId="0" borderId="154" xfId="0" applyNumberFormat="1" applyFont="1" applyBorder="1" applyAlignment="1">
      <alignment horizontal="center" vertical="center" wrapText="1"/>
    </xf>
    <xf numFmtId="0" fontId="61" fillId="0" borderId="0" xfId="0" applyFont="1" applyAlignment="1">
      <alignment vertical="center"/>
    </xf>
    <xf numFmtId="0" fontId="62" fillId="0" borderId="0" xfId="0" applyFont="1"/>
    <xf numFmtId="172" fontId="15" fillId="0" borderId="76" xfId="3" applyNumberFormat="1" applyFont="1" applyFill="1" applyBorder="1" applyAlignment="1">
      <alignment horizontal="center"/>
    </xf>
    <xf numFmtId="172" fontId="15" fillId="0" borderId="157" xfId="3" applyNumberFormat="1" applyFont="1" applyFill="1" applyBorder="1" applyAlignment="1">
      <alignment horizontal="center"/>
    </xf>
    <xf numFmtId="172" fontId="15" fillId="0" borderId="157" xfId="0" applyNumberFormat="1" applyFont="1" applyBorder="1" applyAlignment="1">
      <alignment horizontal="center"/>
    </xf>
    <xf numFmtId="173" fontId="15" fillId="0" borderId="139" xfId="0" applyNumberFormat="1" applyFont="1" applyBorder="1" applyAlignment="1">
      <alignment horizontal="center"/>
    </xf>
    <xf numFmtId="172" fontId="15" fillId="0" borderId="75" xfId="3" applyNumberFormat="1" applyFont="1" applyFill="1" applyBorder="1" applyAlignment="1">
      <alignment horizontal="center"/>
    </xf>
    <xf numFmtId="172" fontId="15" fillId="0" borderId="0" xfId="3" applyNumberFormat="1" applyFont="1" applyFill="1" applyBorder="1" applyAlignment="1">
      <alignment horizontal="center"/>
    </xf>
    <xf numFmtId="172" fontId="15" fillId="0" borderId="0" xfId="0" applyNumberFormat="1" applyFont="1" applyAlignment="1">
      <alignment horizontal="center"/>
    </xf>
    <xf numFmtId="173" fontId="15" fillId="0" borderId="6" xfId="0" applyNumberFormat="1" applyFont="1" applyBorder="1" applyAlignment="1">
      <alignment horizontal="center"/>
    </xf>
    <xf numFmtId="174" fontId="15" fillId="0" borderId="75" xfId="0" applyNumberFormat="1" applyFont="1" applyBorder="1"/>
    <xf numFmtId="174" fontId="15" fillId="0" borderId="158" xfId="0" applyNumberFormat="1" applyFont="1" applyBorder="1"/>
    <xf numFmtId="172" fontId="15" fillId="0" borderId="83" xfId="3" applyNumberFormat="1" applyFont="1" applyBorder="1" applyAlignment="1">
      <alignment horizontal="center"/>
    </xf>
    <xf numFmtId="174" fontId="15" fillId="0" borderId="83" xfId="3" applyNumberFormat="1" applyFont="1" applyBorder="1" applyAlignment="1">
      <alignment horizontal="center"/>
    </xf>
    <xf numFmtId="10" fontId="15" fillId="0" borderId="83" xfId="3" applyNumberFormat="1" applyFont="1" applyBorder="1" applyAlignment="1">
      <alignment horizontal="center"/>
    </xf>
    <xf numFmtId="173" fontId="15" fillId="0" borderId="159" xfId="3" applyNumberFormat="1" applyFont="1" applyBorder="1" applyAlignment="1">
      <alignment horizontal="center"/>
    </xf>
    <xf numFmtId="174" fontId="24" fillId="14" borderId="158" xfId="0" applyNumberFormat="1" applyFont="1" applyFill="1" applyBorder="1" applyAlignment="1">
      <alignment horizontal="center" wrapText="1"/>
    </xf>
    <xf numFmtId="174" fontId="24" fillId="14" borderId="83" xfId="0" applyNumberFormat="1" applyFont="1" applyFill="1" applyBorder="1" applyAlignment="1">
      <alignment horizontal="center" wrapText="1"/>
    </xf>
    <xf numFmtId="174" fontId="24" fillId="14" borderId="83" xfId="0" applyNumberFormat="1" applyFont="1" applyFill="1" applyBorder="1" applyAlignment="1">
      <alignment horizontal="center"/>
    </xf>
    <xf numFmtId="173" fontId="24" fillId="14" borderId="159" xfId="0" applyNumberFormat="1" applyFont="1" applyFill="1" applyBorder="1" applyAlignment="1">
      <alignment horizontal="center" wrapText="1"/>
    </xf>
    <xf numFmtId="172" fontId="24" fillId="0" borderId="158" xfId="0" applyNumberFormat="1" applyFont="1" applyBorder="1" applyAlignment="1">
      <alignment horizontal="center"/>
    </xf>
    <xf numFmtId="172" fontId="24" fillId="0" borderId="83" xfId="0" applyNumberFormat="1" applyFont="1" applyBorder="1" applyAlignment="1">
      <alignment horizontal="center"/>
    </xf>
    <xf numFmtId="173" fontId="24" fillId="0" borderId="159" xfId="0" applyNumberFormat="1" applyFont="1" applyBorder="1" applyAlignment="1">
      <alignment horizontal="center"/>
    </xf>
    <xf numFmtId="175" fontId="15" fillId="0" borderId="0" xfId="0" applyNumberFormat="1" applyFont="1"/>
    <xf numFmtId="174" fontId="15" fillId="0" borderId="0" xfId="0" applyNumberFormat="1" applyFont="1"/>
    <xf numFmtId="10" fontId="24" fillId="0" borderId="83" xfId="3" applyNumberFormat="1" applyFont="1" applyFill="1" applyBorder="1" applyAlignment="1">
      <alignment horizontal="center"/>
    </xf>
    <xf numFmtId="174" fontId="24" fillId="0" borderId="83" xfId="0" applyNumberFormat="1" applyFont="1" applyBorder="1"/>
    <xf numFmtId="173" fontId="15" fillId="0" borderId="6" xfId="0" applyNumberFormat="1" applyFont="1" applyBorder="1"/>
    <xf numFmtId="173" fontId="24" fillId="0" borderId="123" xfId="0" applyNumberFormat="1" applyFont="1" applyBorder="1" applyAlignment="1">
      <alignment horizontal="center"/>
    </xf>
    <xf numFmtId="175" fontId="24" fillId="0" borderId="0" xfId="0" applyNumberFormat="1" applyFont="1"/>
    <xf numFmtId="10" fontId="24" fillId="0" borderId="82" xfId="3" applyNumberFormat="1" applyFont="1" applyFill="1" applyBorder="1" applyAlignment="1">
      <alignment horizontal="center"/>
    </xf>
    <xf numFmtId="174" fontId="24" fillId="0" borderId="84" xfId="0" applyNumberFormat="1" applyFont="1" applyBorder="1"/>
    <xf numFmtId="174" fontId="24" fillId="0" borderId="0" xfId="0" applyNumberFormat="1" applyFont="1" applyAlignment="1">
      <alignment horizontal="left"/>
    </xf>
    <xf numFmtId="10" fontId="15" fillId="0" borderId="91" xfId="3" applyNumberFormat="1" applyFont="1" applyFill="1" applyBorder="1"/>
    <xf numFmtId="174" fontId="24" fillId="0" borderId="160" xfId="0" applyNumberFormat="1" applyFont="1" applyBorder="1"/>
    <xf numFmtId="174" fontId="24" fillId="0" borderId="0" xfId="0" applyNumberFormat="1" applyFont="1"/>
    <xf numFmtId="170" fontId="15" fillId="0" borderId="0" xfId="3" applyNumberFormat="1" applyFont="1" applyFill="1" applyBorder="1"/>
    <xf numFmtId="174" fontId="24" fillId="0" borderId="77" xfId="0" applyNumberFormat="1" applyFont="1" applyBorder="1"/>
    <xf numFmtId="174" fontId="15" fillId="0" borderId="5" xfId="0" applyNumberFormat="1" applyFont="1" applyBorder="1"/>
    <xf numFmtId="174" fontId="0" fillId="0" borderId="4" xfId="0" applyNumberFormat="1" applyBorder="1"/>
    <xf numFmtId="174" fontId="24" fillId="0" borderId="161" xfId="0" applyNumberFormat="1" applyFont="1" applyBorder="1" applyAlignment="1">
      <alignment horizontal="center"/>
    </xf>
    <xf numFmtId="10" fontId="15" fillId="0" borderId="161" xfId="3" applyNumberFormat="1" applyFont="1" applyFill="1" applyBorder="1"/>
    <xf numFmtId="173" fontId="24" fillId="0" borderId="4" xfId="0" applyNumberFormat="1" applyFont="1" applyBorder="1" applyAlignment="1">
      <alignment horizontal="right"/>
    </xf>
    <xf numFmtId="173" fontId="0" fillId="0" borderId="3" xfId="0" applyNumberFormat="1" applyBorder="1"/>
    <xf numFmtId="0" fontId="63" fillId="0" borderId="0" xfId="0" applyFont="1"/>
    <xf numFmtId="174" fontId="63" fillId="0" borderId="0" xfId="0" applyNumberFormat="1" applyFont="1"/>
    <xf numFmtId="173" fontId="63" fillId="0" borderId="0" xfId="0" applyNumberFormat="1" applyFont="1"/>
    <xf numFmtId="44" fontId="0" fillId="0" borderId="162" xfId="2" applyFont="1" applyBorder="1" applyAlignment="1">
      <alignment vertical="center"/>
    </xf>
    <xf numFmtId="44" fontId="0" fillId="0" borderId="163" xfId="2" applyFont="1" applyBorder="1" applyAlignment="1">
      <alignment vertical="center"/>
    </xf>
    <xf numFmtId="0" fontId="17" fillId="0" borderId="164" xfId="0" applyFont="1" applyBorder="1" applyAlignment="1">
      <alignment wrapText="1"/>
    </xf>
    <xf numFmtId="0" fontId="3" fillId="0" borderId="162" xfId="0" applyFont="1" applyBorder="1"/>
    <xf numFmtId="0" fontId="3" fillId="0" borderId="163" xfId="0" applyFont="1" applyBorder="1"/>
    <xf numFmtId="0" fontId="3" fillId="0" borderId="164" xfId="0" applyFont="1" applyBorder="1"/>
    <xf numFmtId="44" fontId="3" fillId="0" borderId="165" xfId="2" applyFont="1" applyBorder="1" applyAlignment="1">
      <alignment vertical="center"/>
    </xf>
    <xf numFmtId="44" fontId="0" fillId="0" borderId="166" xfId="2" applyFont="1" applyBorder="1" applyAlignment="1">
      <alignment vertical="center"/>
    </xf>
    <xf numFmtId="44" fontId="0" fillId="0" borderId="167" xfId="2" applyFont="1" applyBorder="1" applyAlignment="1">
      <alignment vertical="center"/>
    </xf>
    <xf numFmtId="0" fontId="0" fillId="0" borderId="167" xfId="0" applyBorder="1"/>
    <xf numFmtId="0" fontId="3" fillId="0" borderId="168" xfId="0" applyFont="1" applyBorder="1"/>
    <xf numFmtId="44" fontId="0" fillId="0" borderId="169" xfId="2" applyFont="1" applyBorder="1" applyAlignment="1">
      <alignment vertical="center"/>
    </xf>
    <xf numFmtId="44" fontId="0" fillId="0" borderId="170" xfId="2" applyFont="1" applyBorder="1" applyAlignment="1">
      <alignment vertical="center"/>
    </xf>
    <xf numFmtId="44" fontId="0" fillId="0" borderId="171" xfId="2" applyFont="1" applyBorder="1" applyAlignment="1">
      <alignment vertical="center"/>
    </xf>
    <xf numFmtId="0" fontId="0" fillId="0" borderId="171" xfId="0" applyBorder="1"/>
    <xf numFmtId="0" fontId="0" fillId="0" borderId="98" xfId="0" applyBorder="1" applyAlignment="1">
      <alignment vertical="center"/>
    </xf>
    <xf numFmtId="0" fontId="3" fillId="0" borderId="111" xfId="0" applyFont="1" applyBorder="1" applyAlignment="1">
      <alignment vertical="center" wrapText="1"/>
    </xf>
    <xf numFmtId="0" fontId="0" fillId="0" borderId="172" xfId="0" applyBorder="1"/>
    <xf numFmtId="0" fontId="0" fillId="0" borderId="173" xfId="0" applyBorder="1"/>
    <xf numFmtId="0" fontId="0" fillId="0" borderId="174" xfId="0" applyBorder="1"/>
    <xf numFmtId="0" fontId="3" fillId="0" borderId="109" xfId="0" applyFont="1" applyBorder="1"/>
    <xf numFmtId="0" fontId="3" fillId="0" borderId="175" xfId="0" applyFont="1" applyBorder="1"/>
    <xf numFmtId="0" fontId="0" fillId="0" borderId="0" xfId="0" applyAlignment="1">
      <alignment vertical="center" wrapText="1"/>
    </xf>
    <xf numFmtId="0" fontId="3" fillId="0" borderId="176" xfId="0" applyFont="1" applyBorder="1" applyAlignment="1">
      <alignment vertical="center" wrapText="1"/>
    </xf>
    <xf numFmtId="44" fontId="3" fillId="0" borderId="72" xfId="2" applyFont="1" applyBorder="1" applyAlignment="1">
      <alignment vertical="center"/>
    </xf>
    <xf numFmtId="44" fontId="0" fillId="0" borderId="0" xfId="0" applyNumberFormat="1" applyAlignment="1">
      <alignment vertical="center"/>
    </xf>
    <xf numFmtId="0" fontId="0" fillId="0" borderId="177" xfId="0" applyBorder="1" applyAlignment="1">
      <alignment wrapText="1"/>
    </xf>
    <xf numFmtId="44" fontId="0" fillId="0" borderId="178" xfId="2" applyFont="1" applyBorder="1" applyAlignment="1">
      <alignment vertical="center"/>
    </xf>
    <xf numFmtId="44" fontId="0" fillId="0" borderId="176" xfId="0" applyNumberFormat="1" applyBorder="1" applyAlignment="1">
      <alignment wrapText="1"/>
    </xf>
    <xf numFmtId="44" fontId="3" fillId="0" borderId="179" xfId="2" applyFont="1" applyBorder="1"/>
    <xf numFmtId="44" fontId="0" fillId="0" borderId="110" xfId="0" applyNumberFormat="1" applyBorder="1"/>
    <xf numFmtId="44" fontId="0" fillId="0" borderId="180" xfId="0" applyNumberFormat="1" applyBorder="1"/>
    <xf numFmtId="0" fontId="0" fillId="0" borderId="180" xfId="0" applyBorder="1"/>
    <xf numFmtId="0" fontId="0" fillId="0" borderId="111" xfId="0" applyBorder="1"/>
    <xf numFmtId="0" fontId="3" fillId="5" borderId="98" xfId="0" applyFont="1" applyFill="1" applyBorder="1"/>
    <xf numFmtId="44" fontId="0" fillId="0" borderId="155" xfId="2" applyFont="1" applyBorder="1"/>
    <xf numFmtId="44" fontId="0" fillId="0" borderId="112" xfId="0" applyNumberFormat="1" applyBorder="1"/>
    <xf numFmtId="44" fontId="0" fillId="0" borderId="181" xfId="0" applyNumberFormat="1" applyBorder="1"/>
    <xf numFmtId="0" fontId="0" fillId="0" borderId="181" xfId="0" applyBorder="1"/>
    <xf numFmtId="0" fontId="0" fillId="0" borderId="113" xfId="0" applyBorder="1"/>
    <xf numFmtId="168" fontId="3" fillId="0" borderId="72" xfId="0" applyNumberFormat="1" applyFont="1" applyBorder="1"/>
    <xf numFmtId="2" fontId="3" fillId="0" borderId="170" xfId="0" applyNumberFormat="1" applyFont="1" applyBorder="1"/>
    <xf numFmtId="2" fontId="3" fillId="0" borderId="171" xfId="0" applyNumberFormat="1" applyFont="1" applyBorder="1"/>
    <xf numFmtId="0" fontId="3" fillId="0" borderId="171" xfId="0" applyFont="1" applyBorder="1"/>
    <xf numFmtId="0" fontId="3" fillId="0" borderId="98" xfId="0" applyFont="1" applyBorder="1"/>
    <xf numFmtId="164" fontId="0" fillId="0" borderId="178" xfId="0" applyNumberFormat="1" applyBorder="1"/>
    <xf numFmtId="164" fontId="0" fillId="0" borderId="182" xfId="7" applyFont="1" applyBorder="1"/>
    <xf numFmtId="0" fontId="0" fillId="0" borderId="182" xfId="0" applyBorder="1"/>
    <xf numFmtId="0" fontId="0" fillId="0" borderId="183" xfId="0" applyBorder="1"/>
    <xf numFmtId="44" fontId="3" fillId="0" borderId="184" xfId="0" applyNumberFormat="1" applyFont="1" applyBorder="1"/>
    <xf numFmtId="44" fontId="3" fillId="0" borderId="171" xfId="0" applyNumberFormat="1" applyFont="1" applyBorder="1"/>
    <xf numFmtId="44" fontId="3" fillId="0" borderId="185" xfId="0" applyNumberFormat="1" applyFont="1" applyBorder="1"/>
    <xf numFmtId="44" fontId="0" fillId="0" borderId="186" xfId="0" applyNumberFormat="1" applyBorder="1"/>
    <xf numFmtId="0" fontId="0" fillId="0" borderId="78" xfId="0" applyBorder="1"/>
    <xf numFmtId="0" fontId="0" fillId="0" borderId="187" xfId="0" applyBorder="1"/>
    <xf numFmtId="44" fontId="0" fillId="0" borderId="187" xfId="0" applyNumberFormat="1" applyBorder="1"/>
    <xf numFmtId="44" fontId="0" fillId="0" borderId="182" xfId="0" applyNumberFormat="1" applyBorder="1"/>
    <xf numFmtId="44" fontId="0" fillId="0" borderId="99" xfId="0" applyNumberFormat="1" applyBorder="1"/>
    <xf numFmtId="44" fontId="0" fillId="0" borderId="188" xfId="0" applyNumberFormat="1" applyBorder="1"/>
    <xf numFmtId="44" fontId="0" fillId="0" borderId="189" xfId="0" applyNumberFormat="1" applyBorder="1"/>
    <xf numFmtId="0" fontId="0" fillId="0" borderId="189" xfId="0" applyBorder="1"/>
    <xf numFmtId="0" fontId="0" fillId="0" borderId="190" xfId="0" applyBorder="1"/>
    <xf numFmtId="44" fontId="0" fillId="0" borderId="7" xfId="0" applyNumberFormat="1" applyBorder="1"/>
    <xf numFmtId="10" fontId="0" fillId="0" borderId="0" xfId="3" applyNumberFormat="1" applyFont="1"/>
    <xf numFmtId="44" fontId="25" fillId="0" borderId="171" xfId="0" applyNumberFormat="1" applyFont="1" applyBorder="1"/>
    <xf numFmtId="0" fontId="25" fillId="0" borderId="191" xfId="0" applyFont="1" applyBorder="1"/>
    <xf numFmtId="0" fontId="25" fillId="0" borderId="98" xfId="0" applyFont="1" applyBorder="1"/>
    <xf numFmtId="44" fontId="17" fillId="0" borderId="187" xfId="0" applyNumberFormat="1" applyFont="1" applyBorder="1"/>
    <xf numFmtId="44" fontId="17" fillId="0" borderId="182" xfId="0" applyNumberFormat="1" applyFont="1" applyBorder="1"/>
    <xf numFmtId="0" fontId="17" fillId="0" borderId="192" xfId="0" applyFont="1" applyBorder="1"/>
    <xf numFmtId="0" fontId="17" fillId="0" borderId="183" xfId="0" applyFont="1" applyBorder="1"/>
    <xf numFmtId="44" fontId="17" fillId="0" borderId="193" xfId="0" applyNumberFormat="1" applyFont="1" applyBorder="1"/>
    <xf numFmtId="44" fontId="17" fillId="0" borderId="83" xfId="0" applyNumberFormat="1" applyFont="1" applyBorder="1"/>
    <xf numFmtId="0" fontId="17" fillId="0" borderId="194" xfId="0" applyFont="1" applyBorder="1"/>
    <xf numFmtId="0" fontId="17" fillId="0" borderId="84" xfId="0" applyFont="1" applyBorder="1"/>
    <xf numFmtId="0" fontId="0" fillId="0" borderId="192" xfId="0" applyBorder="1"/>
    <xf numFmtId="0" fontId="0" fillId="0" borderId="78" xfId="0" applyBorder="1" applyAlignment="1">
      <alignment wrapText="1"/>
    </xf>
    <xf numFmtId="0" fontId="0" fillId="0" borderId="165" xfId="0" applyBorder="1" applyAlignment="1">
      <alignment horizontal="center" vertical="center"/>
    </xf>
    <xf numFmtId="0" fontId="0" fillId="0" borderId="157" xfId="0" applyBorder="1" applyAlignment="1">
      <alignment horizontal="center"/>
    </xf>
    <xf numFmtId="0" fontId="0" fillId="0" borderId="76" xfId="0" applyBorder="1" applyAlignment="1">
      <alignment horizontal="center"/>
    </xf>
    <xf numFmtId="0" fontId="0" fillId="0" borderId="139" xfId="0" applyBorder="1" applyAlignment="1">
      <alignment horizontal="center"/>
    </xf>
    <xf numFmtId="0" fontId="0" fillId="0" borderId="165" xfId="0" applyBorder="1"/>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3" fillId="0" borderId="7" xfId="0" applyFont="1" applyBorder="1"/>
    <xf numFmtId="44" fontId="0" fillId="0" borderId="80" xfId="0" applyNumberFormat="1" applyBorder="1"/>
    <xf numFmtId="44" fontId="0" fillId="0" borderId="81" xfId="0" applyNumberFormat="1" applyBorder="1"/>
    <xf numFmtId="44" fontId="0" fillId="0" borderId="195" xfId="0" applyNumberFormat="1" applyBorder="1"/>
    <xf numFmtId="0" fontId="0" fillId="0" borderId="195" xfId="0" applyBorder="1"/>
    <xf numFmtId="0" fontId="3" fillId="0" borderId="196" xfId="0" applyFont="1" applyBorder="1"/>
    <xf numFmtId="44" fontId="0" fillId="0" borderId="165" xfId="0" applyNumberFormat="1" applyBorder="1"/>
    <xf numFmtId="0" fontId="0" fillId="0" borderId="75" xfId="0" applyBorder="1"/>
    <xf numFmtId="44" fontId="0" fillId="0" borderId="75" xfId="0" applyNumberFormat="1" applyBorder="1"/>
    <xf numFmtId="0" fontId="3" fillId="0" borderId="6" xfId="0" applyFont="1" applyBorder="1"/>
    <xf numFmtId="44" fontId="0" fillId="0" borderId="4" xfId="0" applyNumberFormat="1" applyBorder="1"/>
    <xf numFmtId="44" fontId="3" fillId="0" borderId="186" xfId="0" applyNumberFormat="1" applyFont="1" applyBorder="1" applyAlignment="1">
      <alignment vertical="center"/>
    </xf>
    <xf numFmtId="44" fontId="3" fillId="0" borderId="0" xfId="0" applyNumberFormat="1" applyFont="1" applyAlignment="1">
      <alignment vertical="center"/>
    </xf>
    <xf numFmtId="0" fontId="3" fillId="0" borderId="6" xfId="0" applyFont="1" applyBorder="1" applyAlignment="1">
      <alignment vertical="center" wrapText="1"/>
    </xf>
    <xf numFmtId="44" fontId="3" fillId="0" borderId="80" xfId="0" applyNumberFormat="1" applyFont="1" applyBorder="1" applyAlignment="1">
      <alignment vertical="center"/>
    </xf>
    <xf numFmtId="44" fontId="3" fillId="0" borderId="195" xfId="0" applyNumberFormat="1" applyFont="1" applyBorder="1" applyAlignment="1">
      <alignment vertical="center"/>
    </xf>
    <xf numFmtId="0" fontId="3" fillId="0" borderId="196" xfId="0" applyFont="1" applyBorder="1" applyAlignment="1">
      <alignment vertical="center" wrapText="1"/>
    </xf>
    <xf numFmtId="44" fontId="3" fillId="0" borderId="186" xfId="0" applyNumberFormat="1" applyFont="1" applyBorder="1"/>
    <xf numFmtId="0" fontId="15" fillId="0" borderId="0" xfId="0" applyFont="1"/>
    <xf numFmtId="44" fontId="15" fillId="0" borderId="186" xfId="0" applyNumberFormat="1" applyFont="1" applyBorder="1"/>
    <xf numFmtId="44" fontId="15" fillId="0" borderId="0" xfId="0" applyNumberFormat="1" applyFont="1"/>
    <xf numFmtId="0" fontId="24" fillId="0" borderId="6" xfId="0" applyFont="1" applyBorder="1"/>
    <xf numFmtId="0" fontId="15" fillId="0" borderId="6" xfId="0" applyFont="1" applyBorder="1"/>
    <xf numFmtId="44" fontId="0" fillId="0" borderId="186" xfId="0" applyNumberFormat="1" applyBorder="1" applyAlignment="1">
      <alignment vertical="center"/>
    </xf>
    <xf numFmtId="0" fontId="0" fillId="0" borderId="6" xfId="0" applyBorder="1" applyAlignment="1">
      <alignment vertical="center" wrapText="1"/>
    </xf>
    <xf numFmtId="0" fontId="3" fillId="0" borderId="6" xfId="0" applyFont="1" applyBorder="1" applyAlignment="1">
      <alignment horizontal="left"/>
    </xf>
    <xf numFmtId="44" fontId="0" fillId="0" borderId="0" xfId="0" applyNumberFormat="1" applyAlignment="1">
      <alignment horizontal="center"/>
    </xf>
    <xf numFmtId="0" fontId="0" fillId="0" borderId="6" xfId="0" applyBorder="1" applyAlignment="1">
      <alignment horizontal="left"/>
    </xf>
    <xf numFmtId="44" fontId="0" fillId="0" borderId="186" xfId="2" applyFont="1" applyBorder="1"/>
    <xf numFmtId="0" fontId="0" fillId="0" borderId="3" xfId="0" applyBorder="1" applyAlignment="1">
      <alignment horizontal="left" vertical="center"/>
    </xf>
    <xf numFmtId="0" fontId="0" fillId="0" borderId="80" xfId="0" applyBorder="1" applyAlignment="1">
      <alignment horizontal="center" vertical="center"/>
    </xf>
    <xf numFmtId="0" fontId="0" fillId="0" borderId="195" xfId="0" applyBorder="1" applyAlignment="1">
      <alignment horizontal="center"/>
    </xf>
    <xf numFmtId="0" fontId="3" fillId="0" borderId="196" xfId="0" applyFont="1" applyBorder="1" applyAlignment="1">
      <alignment horizontal="center"/>
    </xf>
    <xf numFmtId="0" fontId="3" fillId="0" borderId="139" xfId="0" applyFont="1" applyBorder="1"/>
    <xf numFmtId="10" fontId="1" fillId="0" borderId="0" xfId="3" applyNumberFormat="1" applyFont="1" applyAlignment="1">
      <alignment vertical="center"/>
    </xf>
    <xf numFmtId="44" fontId="17" fillId="0" borderId="186" xfId="0" applyNumberFormat="1" applyFont="1" applyBorder="1" applyAlignment="1">
      <alignment vertical="center"/>
    </xf>
    <xf numFmtId="0" fontId="17" fillId="0" borderId="6" xfId="0" applyFont="1" applyBorder="1" applyAlignment="1">
      <alignment vertical="center" wrapText="1"/>
    </xf>
    <xf numFmtId="10" fontId="17" fillId="0" borderId="0" xfId="3" applyNumberFormat="1" applyFont="1" applyAlignment="1">
      <alignment vertical="center"/>
    </xf>
    <xf numFmtId="0" fontId="0" fillId="0" borderId="6" xfId="0" applyBorder="1" applyAlignment="1">
      <alignment wrapText="1"/>
    </xf>
    <xf numFmtId="44" fontId="17" fillId="0" borderId="186" xfId="0" applyNumberFormat="1" applyFont="1" applyBorder="1"/>
    <xf numFmtId="0" fontId="17" fillId="0" borderId="6" xfId="0" applyFont="1" applyBorder="1"/>
    <xf numFmtId="10" fontId="0" fillId="0" borderId="0" xfId="3" applyNumberFormat="1" applyFont="1" applyAlignment="1">
      <alignment vertical="center"/>
    </xf>
    <xf numFmtId="0" fontId="0" fillId="0" borderId="0" xfId="0" applyAlignment="1">
      <alignment horizontal="center"/>
    </xf>
    <xf numFmtId="0" fontId="3" fillId="0" borderId="139" xfId="0" applyFont="1" applyBorder="1" applyAlignment="1">
      <alignment horizontal="center"/>
    </xf>
    <xf numFmtId="0" fontId="0" fillId="0" borderId="165" xfId="0" applyBorder="1" applyAlignment="1">
      <alignment horizontal="center" wrapText="1"/>
    </xf>
    <xf numFmtId="44" fontId="25" fillId="0" borderId="97" xfId="0" applyNumberFormat="1" applyFont="1" applyBorder="1"/>
    <xf numFmtId="44" fontId="0" fillId="0" borderId="162" xfId="0" applyNumberFormat="1" applyBorder="1"/>
    <xf numFmtId="44" fontId="40" fillId="0" borderId="163" xfId="2" applyFont="1" applyBorder="1"/>
    <xf numFmtId="43" fontId="40" fillId="0" borderId="163" xfId="0" applyNumberFormat="1" applyFont="1" applyBorder="1"/>
    <xf numFmtId="0" fontId="0" fillId="0" borderId="164" xfId="0" applyBorder="1"/>
    <xf numFmtId="0" fontId="0" fillId="0" borderId="162" xfId="0" applyBorder="1"/>
    <xf numFmtId="0" fontId="0" fillId="0" borderId="163" xfId="0" applyBorder="1"/>
    <xf numFmtId="44" fontId="3" fillId="0" borderId="81" xfId="0" applyNumberFormat="1" applyFont="1" applyBorder="1"/>
    <xf numFmtId="0" fontId="0" fillId="0" borderId="197" xfId="0" applyBorder="1"/>
    <xf numFmtId="44" fontId="17" fillId="0" borderId="81" xfId="0" applyNumberFormat="1" applyFont="1" applyBorder="1" applyAlignment="1">
      <alignment vertical="center"/>
    </xf>
    <xf numFmtId="44" fontId="17" fillId="0" borderId="195" xfId="0" applyNumberFormat="1" applyFont="1" applyBorder="1" applyAlignment="1">
      <alignment vertical="center"/>
    </xf>
    <xf numFmtId="44" fontId="17" fillId="0" borderId="196" xfId="0" applyNumberFormat="1" applyFont="1" applyBorder="1" applyAlignment="1">
      <alignment vertical="center"/>
    </xf>
    <xf numFmtId="44" fontId="17" fillId="0" borderId="198" xfId="0" applyNumberFormat="1" applyFont="1" applyBorder="1" applyAlignment="1">
      <alignment vertical="center"/>
    </xf>
    <xf numFmtId="0" fontId="17" fillId="0" borderId="199" xfId="0" applyFont="1" applyBorder="1" applyAlignment="1">
      <alignment vertical="center"/>
    </xf>
    <xf numFmtId="44" fontId="17" fillId="0" borderId="200" xfId="0" applyNumberFormat="1" applyFont="1" applyBorder="1" applyAlignment="1">
      <alignment vertical="center"/>
    </xf>
    <xf numFmtId="0" fontId="17" fillId="0" borderId="201" xfId="0" applyFont="1" applyBorder="1" applyAlignment="1">
      <alignment vertical="center" wrapText="1"/>
    </xf>
    <xf numFmtId="44" fontId="0" fillId="0" borderId="202" xfId="2" applyFont="1" applyBorder="1" applyAlignment="1">
      <alignment vertical="center"/>
    </xf>
    <xf numFmtId="0" fontId="40" fillId="0" borderId="122" xfId="0" applyFont="1" applyBorder="1" applyAlignment="1">
      <alignment vertical="center"/>
    </xf>
    <xf numFmtId="44" fontId="40" fillId="0" borderId="203" xfId="2" applyFont="1" applyBorder="1" applyAlignment="1">
      <alignment vertical="center"/>
    </xf>
    <xf numFmtId="44" fontId="64" fillId="0" borderId="203" xfId="2" applyFont="1" applyFill="1" applyBorder="1" applyAlignment="1">
      <alignment vertical="center"/>
    </xf>
    <xf numFmtId="0" fontId="0" fillId="0" borderId="203" xfId="0" applyBorder="1" applyAlignment="1">
      <alignment vertical="center"/>
    </xf>
    <xf numFmtId="44" fontId="0" fillId="0" borderId="123" xfId="2" applyFont="1" applyBorder="1" applyAlignment="1">
      <alignment vertical="center"/>
    </xf>
    <xf numFmtId="0" fontId="40" fillId="0" borderId="124" xfId="0" applyFont="1" applyBorder="1" applyAlignment="1">
      <alignment vertical="center"/>
    </xf>
    <xf numFmtId="44" fontId="40" fillId="0" borderId="91" xfId="2" applyFont="1" applyBorder="1" applyAlignment="1">
      <alignment vertical="center"/>
    </xf>
    <xf numFmtId="44" fontId="40" fillId="0" borderId="91" xfId="2" applyFont="1" applyFill="1" applyBorder="1" applyAlignment="1">
      <alignment vertical="center"/>
    </xf>
    <xf numFmtId="0" fontId="0" fillId="0" borderId="204" xfId="0" applyBorder="1" applyAlignment="1">
      <alignment vertical="center"/>
    </xf>
    <xf numFmtId="44" fontId="0" fillId="15" borderId="205" xfId="2" applyFont="1" applyFill="1" applyBorder="1" applyAlignment="1">
      <alignment vertical="center"/>
    </xf>
    <xf numFmtId="0" fontId="39" fillId="15" borderId="206" xfId="0" applyFont="1" applyFill="1" applyBorder="1" applyAlignment="1">
      <alignment vertical="center"/>
    </xf>
    <xf numFmtId="44" fontId="40" fillId="15" borderId="101" xfId="2" applyFont="1" applyFill="1" applyBorder="1" applyAlignment="1">
      <alignment vertical="center"/>
    </xf>
    <xf numFmtId="0" fontId="0" fillId="15" borderId="204" xfId="0" applyFill="1" applyBorder="1" applyAlignment="1">
      <alignment vertical="center"/>
    </xf>
    <xf numFmtId="0" fontId="0" fillId="15" borderId="206" xfId="0" applyFill="1" applyBorder="1" applyAlignment="1">
      <alignment vertical="center" wrapText="1"/>
    </xf>
    <xf numFmtId="44" fontId="0" fillId="0" borderId="125" xfId="2" applyFont="1" applyBorder="1" applyAlignment="1">
      <alignment vertical="center"/>
    </xf>
    <xf numFmtId="0" fontId="0" fillId="0" borderId="127" xfId="0" applyBorder="1" applyAlignment="1">
      <alignment vertical="center"/>
    </xf>
    <xf numFmtId="44" fontId="40" fillId="0" borderId="126" xfId="2" applyFont="1" applyBorder="1" applyAlignment="1">
      <alignment vertical="center"/>
    </xf>
    <xf numFmtId="44" fontId="0" fillId="0" borderId="126" xfId="2" applyFont="1" applyFill="1" applyBorder="1" applyAlignment="1">
      <alignment vertical="center"/>
    </xf>
    <xf numFmtId="0" fontId="40" fillId="0" borderId="126" xfId="0" applyFont="1" applyBorder="1" applyAlignment="1">
      <alignment vertical="center"/>
    </xf>
    <xf numFmtId="0" fontId="0" fillId="0" borderId="126" xfId="0" applyBorder="1" applyAlignment="1">
      <alignment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wrapText="1"/>
    </xf>
    <xf numFmtId="44" fontId="3" fillId="0" borderId="208" xfId="2" applyFont="1" applyBorder="1" applyAlignment="1">
      <alignment horizontal="center" vertical="center" wrapText="1"/>
    </xf>
    <xf numFmtId="0" fontId="3" fillId="0" borderId="209" xfId="0" applyFont="1" applyBorder="1" applyAlignment="1">
      <alignment horizontal="center" vertical="center" wrapText="1"/>
    </xf>
    <xf numFmtId="0" fontId="3" fillId="0" borderId="7" xfId="0" applyFont="1" applyBorder="1" applyAlignment="1">
      <alignment horizontal="center" vertical="center"/>
    </xf>
    <xf numFmtId="44" fontId="17" fillId="0" borderId="210" xfId="2" applyFont="1" applyBorder="1"/>
    <xf numFmtId="0" fontId="17" fillId="0" borderId="211" xfId="0" applyFont="1" applyBorder="1"/>
    <xf numFmtId="0" fontId="17" fillId="0" borderId="212" xfId="0" applyFont="1" applyBorder="1"/>
    <xf numFmtId="44" fontId="40" fillId="0" borderId="213" xfId="2" applyFont="1" applyBorder="1" applyAlignment="1">
      <alignment horizontal="center" vertical="center"/>
    </xf>
    <xf numFmtId="0" fontId="0" fillId="0" borderId="91" xfId="0" applyBorder="1" applyAlignment="1">
      <alignment horizontal="center" vertical="center"/>
    </xf>
    <xf numFmtId="0" fontId="0" fillId="0" borderId="214" xfId="0" applyBorder="1"/>
    <xf numFmtId="0" fontId="15" fillId="0" borderId="4" xfId="0" applyFont="1" applyBorder="1"/>
    <xf numFmtId="44" fontId="0" fillId="0" borderId="213" xfId="2" applyFont="1" applyBorder="1" applyAlignment="1">
      <alignment horizontal="center" vertical="center"/>
    </xf>
    <xf numFmtId="44" fontId="40" fillId="0" borderId="91" xfId="2" applyFont="1" applyBorder="1" applyAlignment="1">
      <alignment horizontal="center" vertical="center"/>
    </xf>
    <xf numFmtId="44" fontId="3" fillId="0" borderId="81" xfId="2" applyFont="1" applyBorder="1"/>
    <xf numFmtId="44" fontId="40" fillId="0" borderId="215" xfId="2" applyFont="1" applyBorder="1" applyAlignment="1">
      <alignment horizontal="center" vertical="center"/>
    </xf>
    <xf numFmtId="0" fontId="0" fillId="0" borderId="126" xfId="0" applyBorder="1" applyAlignment="1">
      <alignment horizontal="center" vertical="center"/>
    </xf>
    <xf numFmtId="0" fontId="0" fillId="0" borderId="216" xfId="0" applyBorder="1"/>
    <xf numFmtId="44" fontId="0" fillId="0" borderId="75" xfId="2" applyFont="1" applyBorder="1"/>
    <xf numFmtId="44" fontId="0" fillId="0" borderId="217" xfId="0" applyNumberFormat="1" applyBorder="1"/>
    <xf numFmtId="9" fontId="0" fillId="0" borderId="217" xfId="0" applyNumberFormat="1" applyBorder="1"/>
    <xf numFmtId="0" fontId="23" fillId="0" borderId="6" xfId="0" applyFont="1" applyBorder="1"/>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vertical="center"/>
    </xf>
    <xf numFmtId="44" fontId="17" fillId="0" borderId="218" xfId="0" applyNumberFormat="1" applyFont="1" applyBorder="1"/>
    <xf numFmtId="0" fontId="17" fillId="0" borderId="120" xfId="0" applyFont="1" applyBorder="1"/>
    <xf numFmtId="44" fontId="0" fillId="0" borderId="166" xfId="2" applyFont="1" applyBorder="1"/>
    <xf numFmtId="44" fontId="40" fillId="0" borderId="167" xfId="2" applyFont="1" applyBorder="1"/>
    <xf numFmtId="164" fontId="40" fillId="0" borderId="167" xfId="7" applyFont="1" applyBorder="1"/>
    <xf numFmtId="0" fontId="23" fillId="0" borderId="219" xfId="0" applyFont="1" applyBorder="1"/>
    <xf numFmtId="44" fontId="40" fillId="0" borderId="0" xfId="2" applyFont="1"/>
    <xf numFmtId="164" fontId="40" fillId="0" borderId="0" xfId="7" applyFont="1"/>
    <xf numFmtId="44" fontId="17" fillId="0" borderId="218" xfId="2" applyFont="1" applyBorder="1"/>
    <xf numFmtId="0" fontId="17" fillId="0" borderId="173" xfId="0" applyFont="1" applyBorder="1"/>
    <xf numFmtId="44" fontId="17" fillId="0" borderId="75" xfId="2" applyFont="1" applyBorder="1"/>
    <xf numFmtId="44" fontId="42" fillId="0" borderId="0" xfId="2" applyFont="1" applyBorder="1"/>
    <xf numFmtId="43" fontId="42" fillId="0" borderId="0" xfId="0" applyNumberFormat="1" applyFont="1"/>
    <xf numFmtId="9" fontId="42" fillId="0" borderId="0" xfId="0" applyNumberFormat="1" applyFont="1"/>
    <xf numFmtId="44" fontId="23" fillId="0" borderId="166" xfId="2" applyFont="1" applyBorder="1"/>
    <xf numFmtId="44" fontId="41" fillId="0" borderId="167" xfId="2" applyFont="1" applyBorder="1"/>
    <xf numFmtId="164" fontId="41" fillId="0" borderId="167" xfId="7" applyFont="1" applyBorder="1"/>
    <xf numFmtId="0" fontId="23" fillId="0" borderId="219" xfId="0" applyFont="1" applyBorder="1" applyAlignment="1">
      <alignment wrapText="1"/>
    </xf>
    <xf numFmtId="44" fontId="23" fillId="0" borderId="75" xfId="2" applyFont="1" applyBorder="1"/>
    <xf numFmtId="44" fontId="41" fillId="0" borderId="0" xfId="2" applyFont="1"/>
    <xf numFmtId="164" fontId="41" fillId="0" borderId="0" xfId="7" applyFont="1"/>
    <xf numFmtId="0" fontId="23" fillId="0" borderId="6" xfId="0" applyFont="1" applyBorder="1" applyAlignment="1">
      <alignment wrapText="1"/>
    </xf>
    <xf numFmtId="44" fontId="17" fillId="0" borderId="218" xfId="2" applyFont="1" applyBorder="1" applyAlignment="1">
      <alignment vertical="center"/>
    </xf>
    <xf numFmtId="0" fontId="17" fillId="0" borderId="173" xfId="0" applyFont="1" applyBorder="1" applyAlignment="1">
      <alignment vertical="center"/>
    </xf>
    <xf numFmtId="0" fontId="17" fillId="0" borderId="120" xfId="0" applyFont="1" applyBorder="1" applyAlignment="1">
      <alignment vertical="center" wrapText="1"/>
    </xf>
    <xf numFmtId="44" fontId="17" fillId="0" borderId="166" xfId="2" applyFont="1" applyBorder="1"/>
    <xf numFmtId="44" fontId="40" fillId="0" borderId="0" xfId="2" applyFont="1" applyBorder="1"/>
    <xf numFmtId="44" fontId="17" fillId="0" borderId="173" xfId="0" applyNumberFormat="1" applyFont="1" applyBorder="1"/>
    <xf numFmtId="164" fontId="17" fillId="0" borderId="173" xfId="7" applyFont="1" applyBorder="1"/>
    <xf numFmtId="44" fontId="40" fillId="0" borderId="0" xfId="0" applyNumberFormat="1" applyFont="1"/>
    <xf numFmtId="2" fontId="0" fillId="0" borderId="0" xfId="0" applyNumberFormat="1"/>
    <xf numFmtId="0" fontId="3" fillId="0" borderId="81" xfId="0" applyFont="1" applyBorder="1"/>
    <xf numFmtId="0" fontId="3" fillId="0" borderId="195" xfId="0" applyFont="1" applyBorder="1"/>
    <xf numFmtId="0" fontId="0" fillId="0" borderId="160" xfId="0" applyBorder="1"/>
    <xf numFmtId="0" fontId="0" fillId="0" borderId="190" xfId="0" applyBorder="1" applyAlignment="1">
      <alignment vertical="center" wrapText="1"/>
    </xf>
    <xf numFmtId="3" fontId="3" fillId="0" borderId="99" xfId="0" applyNumberFormat="1" applyFont="1" applyBorder="1" applyAlignment="1">
      <alignment horizontal="center" vertical="center"/>
    </xf>
    <xf numFmtId="0" fontId="0" fillId="16" borderId="183" xfId="0" applyFill="1" applyBorder="1" applyAlignment="1">
      <alignment vertical="center" wrapText="1"/>
    </xf>
    <xf numFmtId="0" fontId="3" fillId="0" borderId="99" xfId="0" applyFont="1" applyBorder="1" applyAlignment="1">
      <alignment horizontal="center" vertical="center"/>
    </xf>
    <xf numFmtId="0" fontId="0" fillId="16" borderId="183" xfId="0" applyFill="1" applyBorder="1"/>
    <xf numFmtId="44" fontId="3" fillId="16" borderId="76" xfId="2" applyFont="1" applyFill="1" applyBorder="1"/>
    <xf numFmtId="0" fontId="3" fillId="0" borderId="220" xfId="0" applyFont="1" applyBorder="1"/>
    <xf numFmtId="0" fontId="3" fillId="16" borderId="139" xfId="0" applyFont="1" applyFill="1" applyBorder="1"/>
    <xf numFmtId="44" fontId="0" fillId="17" borderId="166" xfId="2" applyFont="1" applyFill="1" applyBorder="1"/>
    <xf numFmtId="44" fontId="40" fillId="0" borderId="167" xfId="0" applyNumberFormat="1" applyFont="1" applyBorder="1"/>
    <xf numFmtId="0" fontId="0" fillId="0" borderId="219" xfId="0" applyBorder="1"/>
    <xf numFmtId="44" fontId="0" fillId="17" borderId="75" xfId="2" applyFont="1" applyFill="1" applyBorder="1"/>
    <xf numFmtId="10" fontId="40" fillId="18" borderId="0" xfId="0" applyNumberFormat="1" applyFont="1" applyFill="1"/>
    <xf numFmtId="44" fontId="0" fillId="17" borderId="5" xfId="2" applyFont="1" applyFill="1" applyBorder="1"/>
    <xf numFmtId="44" fontId="40" fillId="5" borderId="4" xfId="0" applyNumberFormat="1" applyFont="1" applyFill="1" applyBorder="1"/>
    <xf numFmtId="0" fontId="40" fillId="5" borderId="4" xfId="0" applyFont="1" applyFill="1" applyBorder="1"/>
    <xf numFmtId="0" fontId="3" fillId="0" borderId="81" xfId="0" applyFont="1" applyBorder="1" applyAlignment="1">
      <alignment vertical="center" wrapText="1"/>
    </xf>
    <xf numFmtId="0" fontId="3" fillId="0" borderId="195" xfId="0" applyFont="1" applyBorder="1" applyAlignment="1">
      <alignment vertical="center"/>
    </xf>
    <xf numFmtId="0" fontId="3" fillId="0" borderId="196" xfId="0" applyFont="1" applyBorder="1" applyAlignment="1">
      <alignment vertical="center"/>
    </xf>
    <xf numFmtId="0" fontId="3" fillId="0" borderId="196" xfId="0" applyFont="1" applyBorder="1" applyAlignment="1">
      <alignment horizontal="center" vertical="center"/>
    </xf>
    <xf numFmtId="44" fontId="3" fillId="0" borderId="76" xfId="2" applyFont="1" applyBorder="1"/>
    <xf numFmtId="0" fontId="3" fillId="0" borderId="157" xfId="0" applyFont="1" applyBorder="1"/>
    <xf numFmtId="0" fontId="3" fillId="0" borderId="139" xfId="0" applyFont="1" applyBorder="1" applyAlignment="1">
      <alignment horizontal="left"/>
    </xf>
    <xf numFmtId="44" fontId="17" fillId="11" borderId="97" xfId="2" applyFont="1" applyFill="1" applyBorder="1"/>
    <xf numFmtId="44" fontId="42" fillId="0" borderId="171" xfId="0" applyNumberFormat="1" applyFont="1" applyBorder="1"/>
    <xf numFmtId="43" fontId="42" fillId="0" borderId="171" xfId="0" applyNumberFormat="1" applyFont="1" applyBorder="1"/>
    <xf numFmtId="0" fontId="17" fillId="0" borderId="98" xfId="0" applyFont="1" applyBorder="1" applyAlignment="1">
      <alignment horizontal="left"/>
    </xf>
    <xf numFmtId="44" fontId="0" fillId="0" borderId="221" xfId="2" applyFont="1" applyBorder="1"/>
    <xf numFmtId="0" fontId="23" fillId="0" borderId="168" xfId="0" applyFont="1" applyBorder="1" applyAlignment="1">
      <alignment horizontal="left" vertical="center"/>
    </xf>
    <xf numFmtId="44" fontId="0" fillId="0" borderId="222" xfId="2" applyFont="1" applyBorder="1"/>
    <xf numFmtId="0" fontId="23" fillId="0" borderId="223" xfId="0" applyFont="1" applyBorder="1" applyAlignment="1">
      <alignment horizontal="left" vertical="center"/>
    </xf>
    <xf numFmtId="44" fontId="0" fillId="0" borderId="172" xfId="2" applyFont="1" applyBorder="1"/>
    <xf numFmtId="44" fontId="40" fillId="0" borderId="173" xfId="2" applyFont="1" applyBorder="1"/>
    <xf numFmtId="164" fontId="40" fillId="0" borderId="173" xfId="7" applyFont="1" applyBorder="1"/>
    <xf numFmtId="0" fontId="23" fillId="0" borderId="174" xfId="0" applyFont="1" applyBorder="1" applyAlignment="1">
      <alignment horizontal="left" vertical="center"/>
    </xf>
    <xf numFmtId="44" fontId="17" fillId="11" borderId="5" xfId="2" applyFont="1" applyFill="1" applyBorder="1"/>
    <xf numFmtId="0" fontId="17" fillId="0" borderId="4" xfId="0" applyFont="1" applyBorder="1"/>
    <xf numFmtId="0" fontId="17" fillId="0" borderId="3" xfId="0" applyFont="1" applyBorder="1" applyAlignment="1">
      <alignment horizontal="left" vertical="center"/>
    </xf>
    <xf numFmtId="44" fontId="3" fillId="0" borderId="162" xfId="0" applyNumberFormat="1" applyFont="1" applyBorder="1" applyAlignment="1">
      <alignment vertical="center"/>
    </xf>
    <xf numFmtId="0" fontId="3" fillId="0" borderId="171" xfId="0" applyFont="1" applyBorder="1" applyAlignment="1">
      <alignment vertical="center"/>
    </xf>
    <xf numFmtId="0" fontId="3" fillId="0" borderId="98" xfId="0" applyFont="1" applyBorder="1" applyAlignment="1">
      <alignment vertical="center"/>
    </xf>
    <xf numFmtId="0" fontId="3" fillId="0" borderId="85" xfId="0" applyFont="1" applyBorder="1" applyAlignment="1">
      <alignment vertical="center" wrapText="1"/>
    </xf>
    <xf numFmtId="44" fontId="0" fillId="0" borderId="224" xfId="0" applyNumberFormat="1" applyBorder="1" applyAlignment="1">
      <alignment vertical="center"/>
    </xf>
    <xf numFmtId="44" fontId="0" fillId="0" borderId="105" xfId="0" applyNumberFormat="1" applyBorder="1" applyAlignment="1">
      <alignment vertical="center"/>
    </xf>
    <xf numFmtId="0" fontId="0" fillId="0" borderId="225" xfId="0" applyBorder="1" applyAlignment="1">
      <alignment vertical="center"/>
    </xf>
    <xf numFmtId="0" fontId="0" fillId="0" borderId="183" xfId="0" applyBorder="1" applyAlignment="1">
      <alignment vertical="center" wrapText="1"/>
    </xf>
    <xf numFmtId="44" fontId="0" fillId="0" borderId="213" xfId="0" applyNumberFormat="1" applyBorder="1" applyAlignment="1">
      <alignment vertical="center"/>
    </xf>
    <xf numFmtId="0" fontId="0" fillId="0" borderId="91" xfId="0" applyBorder="1" applyAlignment="1">
      <alignment vertical="center"/>
    </xf>
    <xf numFmtId="0" fontId="0" fillId="0" borderId="214" xfId="0" applyBorder="1" applyAlignment="1">
      <alignment vertical="center"/>
    </xf>
    <xf numFmtId="0" fontId="0" fillId="0" borderId="84" xfId="0" applyBorder="1"/>
    <xf numFmtId="44" fontId="0" fillId="0" borderId="215" xfId="0" applyNumberFormat="1" applyBorder="1"/>
    <xf numFmtId="0" fontId="0" fillId="0" borderId="126" xfId="0" applyBorder="1"/>
    <xf numFmtId="0" fontId="0" fillId="0" borderId="216" xfId="0" applyBorder="1" applyAlignment="1">
      <alignment vertical="center"/>
    </xf>
    <xf numFmtId="0" fontId="3" fillId="0" borderId="226" xfId="0" applyFont="1" applyBorder="1"/>
    <xf numFmtId="0" fontId="3" fillId="0" borderId="227" xfId="0" applyFont="1" applyBorder="1"/>
    <xf numFmtId="0" fontId="3" fillId="0" borderId="119" xfId="0" applyFont="1" applyBorder="1"/>
    <xf numFmtId="176" fontId="65" fillId="0" borderId="162" xfId="0" applyNumberFormat="1" applyFont="1" applyBorder="1" applyAlignment="1">
      <alignment vertical="center"/>
    </xf>
    <xf numFmtId="10" fontId="3" fillId="0" borderId="163" xfId="3" applyNumberFormat="1" applyFont="1" applyBorder="1" applyAlignment="1">
      <alignment horizontal="center" vertical="center"/>
    </xf>
    <xf numFmtId="44" fontId="3" fillId="0" borderId="163" xfId="0" applyNumberFormat="1" applyFont="1" applyBorder="1" applyAlignment="1">
      <alignment horizontal="center" vertical="center"/>
    </xf>
    <xf numFmtId="0" fontId="3" fillId="0" borderId="164" xfId="0" applyFont="1" applyBorder="1" applyAlignment="1">
      <alignment wrapText="1"/>
    </xf>
    <xf numFmtId="176" fontId="17" fillId="0" borderId="213" xfId="0" applyNumberFormat="1" applyFont="1" applyBorder="1"/>
    <xf numFmtId="9" fontId="0" fillId="0" borderId="203" xfId="7" applyNumberFormat="1" applyFont="1" applyBorder="1" applyAlignment="1">
      <alignment horizontal="center" vertical="center"/>
    </xf>
    <xf numFmtId="176" fontId="0" fillId="0" borderId="203" xfId="0" applyNumberFormat="1" applyBorder="1" applyAlignment="1">
      <alignment horizontal="right"/>
    </xf>
    <xf numFmtId="9" fontId="0" fillId="18" borderId="91" xfId="7" applyNumberFormat="1" applyFont="1" applyFill="1" applyBorder="1" applyAlignment="1">
      <alignment horizontal="center" vertical="center"/>
    </xf>
    <xf numFmtId="176" fontId="0" fillId="0" borderId="91" xfId="0" applyNumberFormat="1" applyBorder="1" applyAlignment="1">
      <alignment horizontal="right" vertical="center"/>
    </xf>
    <xf numFmtId="0" fontId="17" fillId="0" borderId="214" xfId="0" applyFont="1" applyBorder="1"/>
    <xf numFmtId="176" fontId="17" fillId="0" borderId="215" xfId="0" applyNumberFormat="1" applyFont="1" applyBorder="1"/>
    <xf numFmtId="9" fontId="0" fillId="0" borderId="126" xfId="3" applyFont="1" applyBorder="1" applyAlignment="1">
      <alignment horizontal="center" vertical="center"/>
    </xf>
    <xf numFmtId="44" fontId="0" fillId="0" borderId="126" xfId="0" applyNumberFormat="1" applyBorder="1" applyAlignment="1">
      <alignment horizontal="center" vertical="center"/>
    </xf>
    <xf numFmtId="0" fontId="17" fillId="0" borderId="216" xfId="0" applyFont="1" applyBorder="1"/>
    <xf numFmtId="9" fontId="3" fillId="0" borderId="162" xfId="0" applyNumberFormat="1" applyFont="1" applyBorder="1" applyAlignment="1">
      <alignment horizontal="center" vertical="center"/>
    </xf>
    <xf numFmtId="0" fontId="0" fillId="0" borderId="163" xfId="0" applyBorder="1" applyAlignment="1">
      <alignment horizontal="center" vertical="center" wrapText="1"/>
    </xf>
    <xf numFmtId="9" fontId="0" fillId="0" borderId="164" xfId="0" applyNumberFormat="1" applyBorder="1" applyAlignment="1">
      <alignment horizontal="center" vertical="center"/>
    </xf>
    <xf numFmtId="176" fontId="65" fillId="0" borderId="228" xfId="0" applyNumberFormat="1" applyFont="1" applyBorder="1" applyAlignment="1">
      <alignment vertical="center"/>
    </xf>
    <xf numFmtId="2" fontId="3" fillId="0" borderId="229" xfId="0" applyNumberFormat="1" applyFont="1" applyBorder="1" applyAlignment="1">
      <alignment horizontal="center" vertical="center"/>
    </xf>
    <xf numFmtId="0" fontId="3" fillId="0" borderId="230" xfId="0" applyFont="1" applyBorder="1" applyAlignment="1">
      <alignment horizontal="center" vertical="center"/>
    </xf>
    <xf numFmtId="0" fontId="3" fillId="18" borderId="85" xfId="0" applyFont="1" applyFill="1" applyBorder="1" applyAlignment="1">
      <alignment wrapText="1"/>
    </xf>
    <xf numFmtId="176" fontId="65" fillId="0" borderId="0" xfId="0" applyNumberFormat="1" applyFont="1" applyAlignment="1">
      <alignment vertical="center"/>
    </xf>
    <xf numFmtId="2" fontId="3" fillId="0" borderId="0" xfId="0" applyNumberFormat="1" applyFont="1" applyAlignment="1">
      <alignment horizontal="center" vertical="center"/>
    </xf>
    <xf numFmtId="0" fontId="3" fillId="0" borderId="0" xfId="0" applyFont="1" applyAlignment="1">
      <alignment wrapText="1"/>
    </xf>
    <xf numFmtId="176" fontId="65" fillId="0" borderId="226" xfId="0" applyNumberFormat="1" applyFont="1" applyBorder="1" applyAlignment="1">
      <alignment vertical="center"/>
    </xf>
    <xf numFmtId="2" fontId="3" fillId="0" borderId="227" xfId="0" applyNumberFormat="1" applyFont="1" applyBorder="1" applyAlignment="1">
      <alignment horizontal="center" vertical="center"/>
    </xf>
    <xf numFmtId="0" fontId="3" fillId="0" borderId="231" xfId="0" applyFont="1" applyBorder="1" applyAlignment="1">
      <alignment horizontal="center" vertical="center"/>
    </xf>
    <xf numFmtId="2" fontId="3" fillId="0" borderId="163" xfId="0" applyNumberFormat="1" applyFont="1" applyBorder="1" applyAlignment="1">
      <alignment horizontal="center" vertical="center"/>
    </xf>
    <xf numFmtId="164" fontId="0" fillId="0" borderId="203" xfId="7" applyFont="1" applyBorder="1"/>
    <xf numFmtId="164" fontId="0" fillId="0" borderId="91" xfId="7" applyFont="1" applyBorder="1"/>
    <xf numFmtId="164" fontId="0" fillId="0" borderId="126" xfId="7" applyFont="1" applyBorder="1"/>
    <xf numFmtId="0" fontId="0" fillId="0" borderId="163" xfId="0" applyBorder="1" applyAlignment="1">
      <alignment horizontal="center" vertical="center"/>
    </xf>
    <xf numFmtId="0" fontId="0" fillId="0" borderId="164" xfId="0" applyBorder="1" applyAlignment="1">
      <alignment horizontal="center" vertical="center"/>
    </xf>
    <xf numFmtId="164" fontId="3" fillId="0" borderId="210" xfId="7" applyFont="1" applyBorder="1"/>
    <xf numFmtId="10" fontId="0" fillId="0" borderId="203" xfId="0" applyNumberFormat="1" applyBorder="1" applyAlignment="1">
      <alignment horizontal="center" vertical="center"/>
    </xf>
    <xf numFmtId="0" fontId="0" fillId="0" borderId="212" xfId="0" applyBorder="1"/>
    <xf numFmtId="164" fontId="3" fillId="0" borderId="213" xfId="7" applyFont="1" applyBorder="1"/>
    <xf numFmtId="10" fontId="0" fillId="0" borderId="91" xfId="0" applyNumberFormat="1" applyBorder="1" applyAlignment="1">
      <alignment horizontal="center" vertical="center"/>
    </xf>
    <xf numFmtId="164" fontId="3" fillId="0" borderId="215" xfId="7" applyFont="1" applyBorder="1"/>
    <xf numFmtId="10" fontId="0" fillId="0" borderId="126" xfId="0" applyNumberFormat="1" applyBorder="1" applyAlignment="1">
      <alignment horizontal="center" vertical="center"/>
    </xf>
    <xf numFmtId="44" fontId="3" fillId="0" borderId="210" xfId="0" applyNumberFormat="1" applyFont="1" applyBorder="1"/>
    <xf numFmtId="10" fontId="0" fillId="0" borderId="203" xfId="0" applyNumberFormat="1" applyBorder="1"/>
    <xf numFmtId="44" fontId="0" fillId="0" borderId="203" xfId="0" applyNumberFormat="1" applyBorder="1" applyAlignment="1">
      <alignment horizontal="center" vertical="center"/>
    </xf>
    <xf numFmtId="44" fontId="3" fillId="0" borderId="213" xfId="0" applyNumberFormat="1" applyFont="1" applyBorder="1"/>
    <xf numFmtId="10" fontId="0" fillId="0" borderId="91" xfId="0" applyNumberFormat="1" applyBorder="1"/>
    <xf numFmtId="44" fontId="0" fillId="0" borderId="91" xfId="0" applyNumberFormat="1" applyBorder="1" applyAlignment="1">
      <alignment horizontal="center" vertical="center"/>
    </xf>
    <xf numFmtId="44" fontId="3" fillId="0" borderId="215" xfId="0" applyNumberFormat="1" applyFont="1" applyBorder="1"/>
    <xf numFmtId="10" fontId="0" fillId="0" borderId="126" xfId="0" applyNumberFormat="1" applyBorder="1"/>
    <xf numFmtId="44" fontId="0" fillId="0" borderId="97" xfId="0" applyNumberFormat="1" applyBorder="1"/>
    <xf numFmtId="0" fontId="0" fillId="0" borderId="171" xfId="0" applyBorder="1" applyAlignment="1">
      <alignment horizontal="center" vertical="center"/>
    </xf>
    <xf numFmtId="0" fontId="0" fillId="0" borderId="98" xfId="0" applyBorder="1"/>
    <xf numFmtId="44" fontId="0" fillId="0" borderId="222" xfId="0" applyNumberFormat="1" applyBorder="1"/>
    <xf numFmtId="0" fontId="0" fillId="0" borderId="223" xfId="0" applyBorder="1"/>
    <xf numFmtId="164" fontId="0" fillId="19" borderId="222" xfId="7" applyFont="1" applyFill="1" applyBorder="1"/>
    <xf numFmtId="0" fontId="0" fillId="0" borderId="97" xfId="0" applyBorder="1"/>
    <xf numFmtId="44" fontId="0" fillId="0" borderId="76" xfId="0" applyNumberFormat="1" applyBorder="1"/>
    <xf numFmtId="0" fontId="0" fillId="0" borderId="139" xfId="0" applyBorder="1" applyAlignment="1">
      <alignment horizontal="right"/>
    </xf>
    <xf numFmtId="0" fontId="0" fillId="0" borderId="6" xfId="0" applyBorder="1" applyAlignment="1">
      <alignment horizontal="right"/>
    </xf>
    <xf numFmtId="44" fontId="0" fillId="0" borderId="232" xfId="0" applyNumberFormat="1" applyBorder="1"/>
    <xf numFmtId="0" fontId="0" fillId="0" borderId="233" xfId="0" applyBorder="1"/>
    <xf numFmtId="44" fontId="0" fillId="0" borderId="158" xfId="0" applyNumberFormat="1" applyBorder="1"/>
    <xf numFmtId="0" fontId="0" fillId="0" borderId="159" xfId="0" applyBorder="1"/>
    <xf numFmtId="164" fontId="0" fillId="0" borderId="81" xfId="7" applyFont="1" applyBorder="1"/>
    <xf numFmtId="0" fontId="0" fillId="0" borderId="196" xfId="0" applyBorder="1"/>
    <xf numFmtId="8" fontId="0" fillId="0" borderId="81" xfId="0" applyNumberFormat="1" applyBorder="1"/>
    <xf numFmtId="44" fontId="0" fillId="3" borderId="110" xfId="0" applyNumberFormat="1" applyFill="1" applyBorder="1"/>
    <xf numFmtId="44" fontId="0" fillId="3" borderId="180" xfId="0" applyNumberFormat="1" applyFill="1" applyBorder="1"/>
    <xf numFmtId="44" fontId="39" fillId="3" borderId="111" xfId="0" applyNumberFormat="1" applyFont="1" applyFill="1" applyBorder="1"/>
    <xf numFmtId="170" fontId="0" fillId="0" borderId="81" xfId="0" applyNumberFormat="1" applyBorder="1"/>
    <xf numFmtId="44" fontId="0" fillId="4" borderId="172" xfId="0" applyNumberFormat="1" applyFill="1" applyBorder="1"/>
    <xf numFmtId="44" fontId="0" fillId="4" borderId="173" xfId="0" applyNumberFormat="1" applyFill="1" applyBorder="1"/>
    <xf numFmtId="44" fontId="0" fillId="4" borderId="174" xfId="0" applyNumberFormat="1" applyFill="1" applyBorder="1"/>
    <xf numFmtId="44" fontId="0" fillId="20" borderId="97" xfId="0" applyNumberFormat="1" applyFill="1" applyBorder="1"/>
    <xf numFmtId="44" fontId="0" fillId="20" borderId="171" xfId="0" applyNumberFormat="1" applyFill="1" applyBorder="1"/>
    <xf numFmtId="44" fontId="0" fillId="20" borderId="85" xfId="0" applyNumberFormat="1" applyFill="1" applyBorder="1"/>
    <xf numFmtId="0" fontId="0" fillId="0" borderId="80" xfId="0" applyBorder="1"/>
    <xf numFmtId="44" fontId="0" fillId="0" borderId="81" xfId="2" applyFont="1" applyBorder="1" applyAlignment="1">
      <alignment vertical="center"/>
    </xf>
    <xf numFmtId="44" fontId="0" fillId="0" borderId="195" xfId="2" applyFont="1" applyBorder="1" applyAlignment="1">
      <alignment vertical="center"/>
    </xf>
    <xf numFmtId="0" fontId="17" fillId="0" borderId="196" xfId="0" applyFont="1" applyBorder="1"/>
    <xf numFmtId="44" fontId="0" fillId="0" borderId="157" xfId="0" applyNumberFormat="1" applyBorder="1"/>
    <xf numFmtId="44" fontId="3" fillId="0" borderId="165" xfId="0" applyNumberFormat="1" applyFont="1" applyBorder="1" applyAlignment="1">
      <alignment vertical="center"/>
    </xf>
    <xf numFmtId="44" fontId="3" fillId="0" borderId="76" xfId="0" applyNumberFormat="1" applyFont="1" applyBorder="1" applyAlignment="1">
      <alignment vertical="center"/>
    </xf>
    <xf numFmtId="44" fontId="3" fillId="0" borderId="157" xfId="0" applyNumberFormat="1" applyFont="1" applyBorder="1" applyAlignment="1">
      <alignment vertical="center"/>
    </xf>
    <xf numFmtId="0" fontId="3" fillId="0" borderId="139" xfId="0" applyFont="1" applyBorder="1" applyAlignment="1">
      <alignment vertical="center" wrapText="1"/>
    </xf>
    <xf numFmtId="44" fontId="3" fillId="21" borderId="234" xfId="2" applyFont="1" applyFill="1" applyBorder="1" applyAlignment="1">
      <alignment vertical="center" wrapText="1"/>
    </xf>
    <xf numFmtId="44" fontId="0" fillId="21" borderId="234" xfId="0" applyNumberFormat="1" applyFill="1" applyBorder="1" applyAlignment="1">
      <alignment vertical="center" wrapText="1"/>
    </xf>
    <xf numFmtId="44" fontId="0" fillId="21" borderId="235" xfId="0" applyNumberFormat="1" applyFill="1" applyBorder="1" applyAlignment="1">
      <alignment vertical="center" wrapText="1"/>
    </xf>
    <xf numFmtId="44" fontId="0" fillId="21" borderId="236" xfId="0" applyNumberFormat="1" applyFill="1" applyBorder="1" applyAlignment="1">
      <alignment vertical="center" wrapText="1"/>
    </xf>
    <xf numFmtId="0" fontId="3" fillId="21" borderId="184" xfId="0" applyFont="1" applyFill="1" applyBorder="1" applyAlignment="1">
      <alignment horizontal="center" vertical="center" wrapText="1"/>
    </xf>
    <xf numFmtId="44" fontId="0" fillId="0" borderId="237" xfId="2" applyFont="1" applyBorder="1" applyAlignment="1">
      <alignment vertical="center" wrapText="1"/>
    </xf>
    <xf numFmtId="44" fontId="0" fillId="0" borderId="0" xfId="0" applyNumberFormat="1" applyAlignment="1">
      <alignment vertical="center" wrapText="1"/>
    </xf>
    <xf numFmtId="0" fontId="0" fillId="22" borderId="186" xfId="0" applyFill="1" applyBorder="1" applyAlignment="1">
      <alignment vertical="center" wrapText="1"/>
    </xf>
    <xf numFmtId="44" fontId="0" fillId="0" borderId="186" xfId="2" applyFont="1" applyBorder="1" applyAlignment="1">
      <alignment vertical="center" wrapText="1"/>
    </xf>
    <xf numFmtId="44" fontId="0" fillId="0" borderId="0" xfId="2" applyFont="1" applyBorder="1" applyAlignment="1">
      <alignment vertical="center" wrapText="1"/>
    </xf>
    <xf numFmtId="0" fontId="0" fillId="22" borderId="186" xfId="0" applyFill="1" applyBorder="1"/>
    <xf numFmtId="0" fontId="0" fillId="22" borderId="186" xfId="0" applyFill="1" applyBorder="1" applyAlignment="1">
      <alignment horizontal="left" vertical="center" wrapText="1"/>
    </xf>
    <xf numFmtId="44" fontId="0" fillId="0" borderId="238" xfId="2" applyFont="1" applyBorder="1" applyAlignment="1">
      <alignment vertical="center" wrapText="1"/>
    </xf>
    <xf numFmtId="0" fontId="3" fillId="21" borderId="239" xfId="0" applyFont="1" applyFill="1" applyBorder="1" applyAlignment="1">
      <alignment horizontal="center" vertical="center" wrapText="1"/>
    </xf>
    <xf numFmtId="44" fontId="3" fillId="23" borderId="240" xfId="2" applyFont="1" applyFill="1" applyBorder="1" applyAlignment="1">
      <alignment vertical="center" wrapText="1"/>
    </xf>
    <xf numFmtId="44" fontId="0" fillId="23" borderId="171" xfId="0" applyNumberFormat="1" applyFill="1" applyBorder="1" applyAlignment="1">
      <alignment vertical="center" wrapText="1"/>
    </xf>
    <xf numFmtId="0" fontId="3" fillId="23" borderId="239" xfId="0" applyFont="1" applyFill="1" applyBorder="1" applyAlignment="1">
      <alignment vertical="center" wrapText="1"/>
    </xf>
    <xf numFmtId="44" fontId="0" fillId="0" borderId="186" xfId="2" applyFont="1" applyBorder="1" applyAlignment="1">
      <alignment vertical="center"/>
    </xf>
    <xf numFmtId="0" fontId="0" fillId="24" borderId="241" xfId="0" applyFill="1" applyBorder="1" applyAlignment="1">
      <alignment vertical="center" wrapText="1"/>
    </xf>
    <xf numFmtId="44" fontId="0" fillId="0" borderId="186" xfId="2" applyFont="1" applyBorder="1" applyAlignment="1">
      <alignment horizontal="center" vertical="center"/>
    </xf>
    <xf numFmtId="0" fontId="0" fillId="24" borderId="71" xfId="0" applyFill="1" applyBorder="1" applyAlignment="1">
      <alignment vertical="center" wrapText="1"/>
    </xf>
    <xf numFmtId="0" fontId="3" fillId="23" borderId="239" xfId="0" applyFont="1" applyFill="1" applyBorder="1" applyAlignment="1">
      <alignment horizontal="center"/>
    </xf>
    <xf numFmtId="44" fontId="3" fillId="12" borderId="240" xfId="2" applyFont="1" applyFill="1" applyBorder="1" applyAlignment="1">
      <alignment vertical="center" wrapText="1"/>
    </xf>
    <xf numFmtId="44" fontId="0" fillId="12" borderId="171" xfId="0" applyNumberFormat="1" applyFill="1" applyBorder="1" applyAlignment="1">
      <alignment vertical="center" wrapText="1"/>
    </xf>
    <xf numFmtId="0" fontId="3" fillId="12" borderId="242" xfId="0" applyFont="1" applyFill="1" applyBorder="1" applyAlignment="1">
      <alignment vertical="center" wrapText="1"/>
    </xf>
    <xf numFmtId="44" fontId="0" fillId="0" borderId="237" xfId="2" applyFont="1" applyBorder="1" applyAlignment="1">
      <alignment vertical="center"/>
    </xf>
    <xf numFmtId="44" fontId="0" fillId="0" borderId="0" xfId="2" applyFont="1" applyBorder="1" applyAlignment="1">
      <alignment vertical="center"/>
    </xf>
    <xf numFmtId="44" fontId="0" fillId="0" borderId="0" xfId="2" applyFont="1" applyAlignment="1">
      <alignment vertical="center"/>
    </xf>
    <xf numFmtId="0" fontId="0" fillId="25" borderId="165" xfId="0" applyFill="1" applyBorder="1" applyAlignment="1">
      <alignment vertical="center" wrapText="1"/>
    </xf>
    <xf numFmtId="0" fontId="0" fillId="25" borderId="186" xfId="0" applyFill="1" applyBorder="1"/>
    <xf numFmtId="0" fontId="0" fillId="25" borderId="186" xfId="0" applyFill="1" applyBorder="1" applyAlignment="1">
      <alignment vertical="center" wrapText="1"/>
    </xf>
    <xf numFmtId="0" fontId="17" fillId="25" borderId="186" xfId="0" applyFont="1" applyFill="1" applyBorder="1"/>
    <xf numFmtId="0" fontId="0" fillId="15" borderId="186" xfId="0" applyFill="1" applyBorder="1"/>
    <xf numFmtId="0" fontId="0" fillId="0" borderId="7" xfId="0" applyBorder="1"/>
    <xf numFmtId="0" fontId="3" fillId="12" borderId="242" xfId="0" applyFont="1" applyFill="1" applyBorder="1" applyAlignment="1">
      <alignment horizontal="center"/>
    </xf>
    <xf numFmtId="0" fontId="3" fillId="0" borderId="165" xfId="0" applyFont="1" applyBorder="1"/>
    <xf numFmtId="0" fontId="3" fillId="0" borderId="76" xfId="0" applyFont="1" applyBorder="1" applyAlignment="1">
      <alignment horizontal="center"/>
    </xf>
    <xf numFmtId="0" fontId="3" fillId="0" borderId="157" xfId="0" applyFont="1" applyBorder="1" applyAlignment="1">
      <alignment horizontal="center"/>
    </xf>
    <xf numFmtId="0" fontId="0" fillId="0" borderId="157" xfId="0" applyBorder="1"/>
    <xf numFmtId="0" fontId="0" fillId="0" borderId="6" xfId="0" applyBorder="1" applyAlignment="1">
      <alignment horizontal="center"/>
    </xf>
    <xf numFmtId="0" fontId="0" fillId="0" borderId="7" xfId="0" applyBorder="1" applyAlignment="1">
      <alignment horizontal="center" vertical="center"/>
    </xf>
    <xf numFmtId="44" fontId="0" fillId="0" borderId="243" xfId="0" applyNumberFormat="1" applyBorder="1"/>
    <xf numFmtId="44" fontId="3" fillId="0" borderId="165" xfId="0" applyNumberFormat="1" applyFont="1" applyBorder="1"/>
    <xf numFmtId="44" fontId="65" fillId="0" borderId="239" xfId="0" applyNumberFormat="1" applyFont="1" applyBorder="1"/>
    <xf numFmtId="44" fontId="3" fillId="0" borderId="98" xfId="0" applyNumberFormat="1" applyFont="1" applyBorder="1"/>
    <xf numFmtId="44" fontId="3" fillId="0" borderId="244" xfId="0" applyNumberFormat="1" applyFont="1" applyBorder="1"/>
    <xf numFmtId="0" fontId="0" fillId="0" borderId="186" xfId="0" applyBorder="1"/>
    <xf numFmtId="44" fontId="65" fillId="0" borderId="239" xfId="2" applyFont="1" applyBorder="1" applyAlignment="1">
      <alignment vertical="center"/>
    </xf>
    <xf numFmtId="44" fontId="3" fillId="0" borderId="180" xfId="2" applyFont="1" applyBorder="1" applyAlignment="1">
      <alignment vertical="center"/>
    </xf>
    <xf numFmtId="44" fontId="3" fillId="0" borderId="111" xfId="2" applyFont="1" applyBorder="1" applyAlignment="1">
      <alignment vertical="center"/>
    </xf>
    <xf numFmtId="44" fontId="3" fillId="0" borderId="245" xfId="2" applyFont="1" applyBorder="1" applyAlignment="1">
      <alignment vertical="center"/>
    </xf>
    <xf numFmtId="44" fontId="0" fillId="0" borderId="83" xfId="2" applyFont="1" applyBorder="1" applyAlignment="1">
      <alignment vertical="center"/>
    </xf>
    <xf numFmtId="44" fontId="0" fillId="0" borderId="246" xfId="2" applyFont="1" applyBorder="1" applyAlignment="1">
      <alignment vertical="center"/>
    </xf>
    <xf numFmtId="44" fontId="0" fillId="0" borderId="247" xfId="2" applyFont="1" applyBorder="1" applyAlignment="1">
      <alignment vertical="center"/>
    </xf>
    <xf numFmtId="44" fontId="65" fillId="0" borderId="239" xfId="2" applyFont="1" applyBorder="1"/>
    <xf numFmtId="44" fontId="3" fillId="0" borderId="83" xfId="2" applyFont="1" applyBorder="1" applyAlignment="1">
      <alignment vertical="center"/>
    </xf>
    <xf numFmtId="44" fontId="3" fillId="0" borderId="246" xfId="2" applyFont="1" applyBorder="1" applyAlignment="1">
      <alignment vertical="center"/>
    </xf>
    <xf numFmtId="44" fontId="3" fillId="0" borderId="247" xfId="2" applyFont="1" applyBorder="1"/>
    <xf numFmtId="0" fontId="3" fillId="0" borderId="223" xfId="0" applyFont="1" applyBorder="1"/>
    <xf numFmtId="44" fontId="0" fillId="0" borderId="83" xfId="0" applyNumberFormat="1" applyBorder="1"/>
    <xf numFmtId="44" fontId="0" fillId="0" borderId="246" xfId="0" applyNumberFormat="1" applyBorder="1"/>
    <xf numFmtId="44" fontId="0" fillId="0" borderId="247" xfId="2" applyFont="1" applyBorder="1"/>
    <xf numFmtId="0" fontId="0" fillId="0" borderId="246" xfId="0" applyBorder="1"/>
    <xf numFmtId="44" fontId="0" fillId="0" borderId="7" xfId="2" applyFont="1" applyBorder="1"/>
    <xf numFmtId="44" fontId="0" fillId="0" borderId="113" xfId="0" applyNumberFormat="1" applyBorder="1"/>
    <xf numFmtId="44" fontId="0" fillId="0" borderId="248" xfId="2" applyFont="1" applyBorder="1"/>
    <xf numFmtId="0" fontId="3" fillId="0" borderId="166" xfId="0" applyFont="1" applyBorder="1" applyAlignment="1">
      <alignment vertical="center"/>
    </xf>
    <xf numFmtId="0" fontId="0" fillId="0" borderId="249" xfId="0" applyBorder="1"/>
    <xf numFmtId="0" fontId="0" fillId="0" borderId="5" xfId="0" applyBorder="1" applyAlignment="1">
      <alignment horizontal="center" vertical="center"/>
    </xf>
    <xf numFmtId="0" fontId="0" fillId="0" borderId="250" xfId="0" applyBorder="1" applyAlignment="1">
      <alignment horizontal="center"/>
    </xf>
    <xf numFmtId="44" fontId="0" fillId="0" borderId="210" xfId="0" applyNumberFormat="1" applyBorder="1"/>
    <xf numFmtId="44" fontId="0" fillId="0" borderId="180" xfId="2" applyFont="1" applyFill="1" applyBorder="1" applyAlignment="1">
      <alignment vertical="center"/>
    </xf>
    <xf numFmtId="0" fontId="0" fillId="0" borderId="251" xfId="0" applyBorder="1"/>
    <xf numFmtId="44" fontId="0" fillId="0" borderId="189" xfId="2" applyFont="1" applyFill="1" applyBorder="1" applyAlignment="1">
      <alignment vertical="center"/>
    </xf>
    <xf numFmtId="0" fontId="0" fillId="0" borderId="252" xfId="0" applyBorder="1"/>
    <xf numFmtId="44" fontId="0" fillId="0" borderId="210" xfId="2" applyFont="1" applyBorder="1" applyAlignment="1">
      <alignment vertical="center"/>
    </xf>
    <xf numFmtId="164" fontId="0" fillId="0" borderId="203" xfId="0" applyNumberFormat="1" applyBorder="1" applyAlignment="1">
      <alignment vertical="center"/>
    </xf>
    <xf numFmtId="44" fontId="0" fillId="0" borderId="203" xfId="2" applyFont="1" applyBorder="1" applyAlignment="1">
      <alignment vertical="center"/>
    </xf>
    <xf numFmtId="164" fontId="0" fillId="0" borderId="212" xfId="0" applyNumberFormat="1" applyBorder="1" applyAlignment="1">
      <alignment vertical="center"/>
    </xf>
    <xf numFmtId="0" fontId="0" fillId="0" borderId="253" xfId="0" applyBorder="1" applyAlignment="1">
      <alignment wrapText="1"/>
    </xf>
    <xf numFmtId="44" fontId="0" fillId="0" borderId="213" xfId="2" applyFont="1" applyBorder="1" applyAlignment="1">
      <alignment vertical="center"/>
    </xf>
    <xf numFmtId="164" fontId="0" fillId="0" borderId="91" xfId="0" applyNumberFormat="1" applyBorder="1" applyAlignment="1">
      <alignment vertical="center"/>
    </xf>
    <xf numFmtId="44" fontId="0" fillId="0" borderId="91" xfId="0" applyNumberFormat="1" applyBorder="1" applyAlignment="1">
      <alignment vertical="center"/>
    </xf>
    <xf numFmtId="164" fontId="0" fillId="0" borderId="214" xfId="0" applyNumberFormat="1" applyBorder="1" applyAlignment="1">
      <alignment vertical="center"/>
    </xf>
    <xf numFmtId="0" fontId="0" fillId="0" borderId="254" xfId="0" applyBorder="1" applyAlignment="1">
      <alignment wrapText="1"/>
    </xf>
    <xf numFmtId="0" fontId="0" fillId="0" borderId="254" xfId="0" applyBorder="1"/>
    <xf numFmtId="44" fontId="3" fillId="0" borderId="215" xfId="2" applyFont="1" applyBorder="1" applyAlignment="1">
      <alignment vertical="center"/>
    </xf>
    <xf numFmtId="164" fontId="3" fillId="0" borderId="126" xfId="0" applyNumberFormat="1" applyFont="1" applyBorder="1" applyAlignment="1">
      <alignment vertical="center"/>
    </xf>
    <xf numFmtId="44" fontId="3" fillId="0" borderId="126" xfId="0" applyNumberFormat="1" applyFont="1" applyBorder="1" applyAlignment="1">
      <alignment vertical="center"/>
    </xf>
    <xf numFmtId="164" fontId="3" fillId="0" borderId="216" xfId="0" applyNumberFormat="1" applyFont="1" applyBorder="1" applyAlignment="1">
      <alignment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3" xfId="0" applyFont="1" applyBorder="1" applyAlignment="1">
      <alignment vertical="center"/>
    </xf>
    <xf numFmtId="10" fontId="3" fillId="0" borderId="162" xfId="0" applyNumberFormat="1" applyFont="1" applyBorder="1"/>
    <xf numFmtId="44" fontId="0" fillId="0" borderId="210" xfId="2" applyFont="1" applyBorder="1"/>
    <xf numFmtId="44" fontId="0" fillId="0" borderId="213" xfId="2" applyFont="1" applyBorder="1"/>
    <xf numFmtId="0" fontId="0" fillId="0" borderId="82" xfId="0" applyBorder="1"/>
    <xf numFmtId="0" fontId="0" fillId="0" borderId="83" xfId="0" applyBorder="1"/>
    <xf numFmtId="0" fontId="66" fillId="0" borderId="84" xfId="0" applyFont="1" applyBorder="1"/>
    <xf numFmtId="0" fontId="0" fillId="0" borderId="215" xfId="0" applyBorder="1"/>
    <xf numFmtId="2" fontId="0" fillId="0" borderId="81" xfId="0" applyNumberFormat="1" applyBorder="1"/>
    <xf numFmtId="170" fontId="17" fillId="0" borderId="179" xfId="0" applyNumberFormat="1" applyFont="1" applyBorder="1"/>
    <xf numFmtId="0" fontId="17" fillId="0" borderId="255" xfId="0" applyFont="1" applyBorder="1"/>
    <xf numFmtId="170" fontId="3" fillId="0" borderId="256" xfId="0" applyNumberFormat="1" applyFont="1" applyBorder="1"/>
    <xf numFmtId="0" fontId="3" fillId="0" borderId="257" xfId="0" applyFont="1" applyBorder="1"/>
    <xf numFmtId="8" fontId="3" fillId="0" borderId="258" xfId="0" applyNumberFormat="1" applyFont="1" applyBorder="1"/>
    <xf numFmtId="0" fontId="3" fillId="0" borderId="259" xfId="0" applyFont="1" applyBorder="1"/>
    <xf numFmtId="8" fontId="0" fillId="0" borderId="256" xfId="0" applyNumberFormat="1" applyBorder="1"/>
    <xf numFmtId="0" fontId="0" fillId="0" borderId="257" xfId="0" applyBorder="1"/>
    <xf numFmtId="44" fontId="0" fillId="0" borderId="260" xfId="2" applyFont="1" applyBorder="1"/>
    <xf numFmtId="0" fontId="0" fillId="0" borderId="261" xfId="0" applyBorder="1"/>
    <xf numFmtId="0" fontId="3" fillId="0" borderId="91" xfId="0" applyFont="1" applyBorder="1" applyAlignment="1">
      <alignment horizontal="center" vertical="center"/>
    </xf>
    <xf numFmtId="0" fontId="0" fillId="0" borderId="91" xfId="0" applyBorder="1"/>
    <xf numFmtId="44" fontId="0" fillId="0" borderId="91" xfId="0" applyNumberFormat="1" applyBorder="1"/>
    <xf numFmtId="0" fontId="0" fillId="0" borderId="4" xfId="0" applyBorder="1"/>
    <xf numFmtId="44" fontId="65" fillId="0" borderId="7" xfId="0" applyNumberFormat="1" applyFont="1" applyBorder="1"/>
    <xf numFmtId="44" fontId="65" fillId="0" borderId="114" xfId="0" applyNumberFormat="1" applyFont="1" applyBorder="1"/>
    <xf numFmtId="44" fontId="65" fillId="0" borderId="115" xfId="0" applyNumberFormat="1" applyFont="1" applyBorder="1"/>
    <xf numFmtId="44" fontId="65" fillId="0" borderId="197" xfId="0" applyNumberFormat="1" applyFont="1" applyBorder="1"/>
    <xf numFmtId="0" fontId="3" fillId="0" borderId="262" xfId="0" applyFont="1" applyBorder="1"/>
    <xf numFmtId="44" fontId="3" fillId="0" borderId="263" xfId="0" applyNumberFormat="1" applyFont="1" applyBorder="1"/>
    <xf numFmtId="44" fontId="3" fillId="0" borderId="163" xfId="2" applyFont="1" applyBorder="1" applyAlignment="1">
      <alignment vertical="center"/>
    </xf>
    <xf numFmtId="44" fontId="3" fillId="0" borderId="164" xfId="2" applyFont="1" applyBorder="1"/>
    <xf numFmtId="44" fontId="3" fillId="0" borderId="264" xfId="2" applyFont="1" applyBorder="1" applyAlignment="1">
      <alignment vertical="center"/>
    </xf>
    <xf numFmtId="44" fontId="3" fillId="0" borderId="251" xfId="2" applyFont="1" applyBorder="1" applyAlignment="1">
      <alignment vertical="center"/>
    </xf>
    <xf numFmtId="0" fontId="0" fillId="0" borderId="253" xfId="0" applyBorder="1"/>
    <xf numFmtId="44" fontId="3" fillId="0" borderId="193" xfId="2" applyFont="1" applyBorder="1" applyAlignment="1">
      <alignment vertical="center"/>
    </xf>
    <xf numFmtId="44" fontId="3" fillId="0" borderId="82" xfId="2" applyFont="1" applyBorder="1" applyAlignment="1">
      <alignment vertical="center"/>
    </xf>
    <xf numFmtId="44" fontId="3" fillId="0" borderId="0" xfId="2" applyFont="1" applyAlignment="1">
      <alignment vertical="center"/>
    </xf>
    <xf numFmtId="44" fontId="3" fillId="0" borderId="265" xfId="2" applyFont="1" applyBorder="1" applyAlignment="1">
      <alignment vertical="center"/>
    </xf>
    <xf numFmtId="44" fontId="3" fillId="0" borderId="252" xfId="2" applyFont="1" applyBorder="1" applyAlignment="1">
      <alignment vertical="center"/>
    </xf>
    <xf numFmtId="0" fontId="0" fillId="0" borderId="176" xfId="0" applyBorder="1"/>
    <xf numFmtId="0" fontId="3" fillId="0" borderId="186" xfId="0" applyFont="1" applyBorder="1" applyAlignment="1">
      <alignment horizontal="center" vertical="center"/>
    </xf>
    <xf numFmtId="0" fontId="3" fillId="0" borderId="6" xfId="0" applyFont="1" applyBorder="1" applyAlignment="1">
      <alignment horizontal="center" vertical="center"/>
    </xf>
    <xf numFmtId="0" fontId="3" fillId="0" borderId="242" xfId="0" applyFont="1" applyBorder="1" applyAlignment="1">
      <alignment horizontal="center" vertical="center"/>
    </xf>
    <xf numFmtId="0" fontId="3" fillId="0" borderId="266" xfId="0" applyFont="1" applyBorder="1" applyAlignment="1">
      <alignment horizontal="center" vertical="center"/>
    </xf>
    <xf numFmtId="0" fontId="3" fillId="0" borderId="261" xfId="0" applyFont="1" applyBorder="1" applyAlignment="1">
      <alignment horizontal="center" vertical="center"/>
    </xf>
    <xf numFmtId="44" fontId="3" fillId="0" borderId="162" xfId="2" applyFont="1" applyBorder="1" applyAlignment="1">
      <alignment vertical="center"/>
    </xf>
    <xf numFmtId="44" fontId="0" fillId="0" borderId="91" xfId="2" applyFont="1" applyBorder="1" applyAlignment="1">
      <alignment vertical="center"/>
    </xf>
    <xf numFmtId="44" fontId="0" fillId="0" borderId="215" xfId="2" applyFont="1" applyBorder="1" applyAlignment="1">
      <alignment vertical="center"/>
    </xf>
    <xf numFmtId="44" fontId="0" fillId="0" borderId="126" xfId="2" applyFont="1" applyBorder="1" applyAlignment="1">
      <alignment vertical="center"/>
    </xf>
    <xf numFmtId="0" fontId="0" fillId="0" borderId="101" xfId="0" applyBorder="1" applyAlignment="1">
      <alignment wrapText="1"/>
    </xf>
    <xf numFmtId="0" fontId="66" fillId="0" borderId="91" xfId="0" applyFont="1" applyBorder="1"/>
    <xf numFmtId="44" fontId="65" fillId="0" borderId="80" xfId="0" applyNumberFormat="1" applyFont="1" applyBorder="1"/>
    <xf numFmtId="0" fontId="0" fillId="0" borderId="109" xfId="0" applyBorder="1"/>
    <xf numFmtId="0" fontId="0" fillId="0" borderId="210" xfId="0" applyBorder="1" applyAlignment="1">
      <alignment vertical="center" wrapText="1"/>
    </xf>
    <xf numFmtId="9" fontId="0" fillId="0" borderId="203" xfId="0" applyNumberFormat="1" applyBorder="1" applyAlignment="1">
      <alignment vertical="center"/>
    </xf>
    <xf numFmtId="0" fontId="0" fillId="0" borderId="212" xfId="0" applyBorder="1" applyAlignment="1">
      <alignment vertical="center"/>
    </xf>
    <xf numFmtId="3" fontId="3" fillId="0" borderId="98" xfId="0" applyNumberFormat="1" applyFont="1" applyBorder="1" applyAlignment="1">
      <alignment vertical="center"/>
    </xf>
    <xf numFmtId="0" fontId="0" fillId="0" borderId="213" xfId="0" applyBorder="1" applyAlignment="1">
      <alignment vertical="center" wrapText="1"/>
    </xf>
    <xf numFmtId="9" fontId="0" fillId="0" borderId="91" xfId="0" applyNumberFormat="1" applyBorder="1" applyAlignment="1">
      <alignment vertical="center"/>
    </xf>
    <xf numFmtId="0" fontId="31" fillId="26" borderId="97" xfId="0" applyFont="1" applyFill="1" applyBorder="1" applyAlignment="1">
      <alignment vertical="center"/>
    </xf>
    <xf numFmtId="0" fontId="31" fillId="26" borderId="171" xfId="0" applyFont="1" applyFill="1" applyBorder="1" applyAlignment="1">
      <alignment vertical="center"/>
    </xf>
    <xf numFmtId="0" fontId="31" fillId="26" borderId="98" xfId="0" applyFont="1" applyFill="1" applyBorder="1" applyAlignment="1">
      <alignment vertical="center"/>
    </xf>
    <xf numFmtId="0" fontId="0" fillId="0" borderId="215" xfId="0" applyBorder="1" applyAlignment="1">
      <alignment vertical="center" wrapText="1"/>
    </xf>
    <xf numFmtId="9" fontId="0" fillId="0" borderId="126" xfId="0" applyNumberFormat="1" applyBorder="1" applyAlignment="1">
      <alignment vertical="center"/>
    </xf>
    <xf numFmtId="10" fontId="0" fillId="0" borderId="203" xfId="0" applyNumberFormat="1" applyBorder="1" applyAlignment="1">
      <alignment vertical="center"/>
    </xf>
    <xf numFmtId="0" fontId="0" fillId="0" borderId="212" xfId="0" applyBorder="1" applyAlignment="1">
      <alignment vertical="center" wrapText="1"/>
    </xf>
    <xf numFmtId="10" fontId="0" fillId="0" borderId="126" xfId="0" applyNumberFormat="1" applyBorder="1" applyAlignment="1">
      <alignment vertical="center"/>
    </xf>
    <xf numFmtId="0" fontId="0" fillId="0" borderId="216" xfId="0" applyBorder="1" applyAlignment="1">
      <alignment vertical="center" wrapText="1"/>
    </xf>
    <xf numFmtId="0" fontId="0" fillId="0" borderId="267" xfId="0" applyBorder="1"/>
    <xf numFmtId="0" fontId="0" fillId="27" borderId="0" xfId="0" applyFill="1"/>
    <xf numFmtId="177" fontId="0" fillId="27" borderId="0" xfId="2" applyNumberFormat="1" applyFont="1" applyFill="1"/>
    <xf numFmtId="0" fontId="0" fillId="27" borderId="268" xfId="0" applyFill="1" applyBorder="1"/>
    <xf numFmtId="44" fontId="0" fillId="27" borderId="268" xfId="2" applyFont="1" applyFill="1" applyBorder="1"/>
    <xf numFmtId="0" fontId="31" fillId="26" borderId="268" xfId="0" applyFont="1" applyFill="1" applyBorder="1"/>
    <xf numFmtId="44" fontId="3" fillId="0" borderId="97" xfId="0" applyNumberFormat="1" applyFont="1" applyBorder="1"/>
    <xf numFmtId="0" fontId="0" fillId="0" borderId="191" xfId="0" applyBorder="1"/>
    <xf numFmtId="44" fontId="17" fillId="0" borderId="97" xfId="0" applyNumberFormat="1" applyFont="1" applyBorder="1"/>
    <xf numFmtId="0" fontId="17" fillId="0" borderId="191" xfId="0" applyFont="1" applyBorder="1"/>
    <xf numFmtId="0" fontId="17" fillId="0" borderId="98" xfId="0" applyFont="1" applyBorder="1"/>
    <xf numFmtId="178" fontId="0" fillId="0" borderId="0" xfId="2" applyNumberFormat="1" applyFont="1"/>
    <xf numFmtId="10" fontId="0" fillId="0" borderId="0" xfId="0" applyNumberFormat="1"/>
    <xf numFmtId="43" fontId="0" fillId="0" borderId="0" xfId="0" applyNumberFormat="1"/>
    <xf numFmtId="44" fontId="0" fillId="0" borderId="97" xfId="2" applyFont="1" applyBorder="1"/>
    <xf numFmtId="177" fontId="0" fillId="0" borderId="0" xfId="0" applyNumberFormat="1" applyAlignment="1">
      <alignment vertical="center"/>
    </xf>
    <xf numFmtId="164" fontId="0" fillId="0" borderId="0" xfId="0" applyNumberFormat="1" applyAlignment="1">
      <alignment vertical="center"/>
    </xf>
    <xf numFmtId="0" fontId="3" fillId="0" borderId="97" xfId="0" applyFont="1" applyBorder="1" applyAlignment="1">
      <alignment vertical="center" wrapText="1"/>
    </xf>
    <xf numFmtId="0" fontId="3" fillId="0" borderId="171" xfId="0" applyFont="1" applyBorder="1" applyAlignment="1">
      <alignment vertical="center" wrapText="1"/>
    </xf>
    <xf numFmtId="164" fontId="0" fillId="0" borderId="82" xfId="0" applyNumberFormat="1" applyBorder="1" applyAlignment="1">
      <alignment vertical="center"/>
    </xf>
    <xf numFmtId="164" fontId="0" fillId="0" borderId="83" xfId="0" applyNumberFormat="1" applyBorder="1" applyAlignment="1">
      <alignment vertical="center"/>
    </xf>
    <xf numFmtId="0" fontId="0" fillId="0" borderId="84" xfId="0" applyBorder="1" applyAlignment="1">
      <alignment vertical="center" wrapText="1"/>
    </xf>
    <xf numFmtId="164" fontId="0" fillId="0" borderId="0" xfId="7" applyFont="1" applyAlignment="1">
      <alignment vertical="center"/>
    </xf>
    <xf numFmtId="164" fontId="3" fillId="0" borderId="82" xfId="0" applyNumberFormat="1" applyFont="1" applyBorder="1" applyAlignment="1">
      <alignment horizontal="center" vertical="center"/>
    </xf>
    <xf numFmtId="164" fontId="3" fillId="0" borderId="83" xfId="0" applyNumberFormat="1" applyFont="1" applyBorder="1" applyAlignment="1">
      <alignment horizontal="center" vertical="center"/>
    </xf>
    <xf numFmtId="0" fontId="0" fillId="0" borderId="84" xfId="0" applyBorder="1" applyAlignment="1">
      <alignment wrapText="1"/>
    </xf>
    <xf numFmtId="164" fontId="3" fillId="0" borderId="83" xfId="0" applyNumberFormat="1" applyFont="1" applyBorder="1" applyAlignment="1">
      <alignment vertical="center"/>
    </xf>
    <xf numFmtId="0" fontId="3" fillId="0" borderId="83" xfId="0" applyFont="1" applyBorder="1" applyAlignment="1">
      <alignment wrapText="1"/>
    </xf>
    <xf numFmtId="164" fontId="0" fillId="0" borderId="0" xfId="7" applyFont="1"/>
    <xf numFmtId="164" fontId="3" fillId="0" borderId="0" xfId="0" applyNumberFormat="1" applyFont="1" applyAlignment="1">
      <alignment vertical="center"/>
    </xf>
    <xf numFmtId="164" fontId="0" fillId="0" borderId="160" xfId="0" applyNumberFormat="1" applyBorder="1" applyAlignment="1">
      <alignment vertical="center"/>
    </xf>
    <xf numFmtId="164" fontId="0" fillId="0" borderId="189" xfId="0" applyNumberFormat="1" applyBorder="1" applyAlignment="1">
      <alignment vertical="center"/>
    </xf>
    <xf numFmtId="0" fontId="0" fillId="0" borderId="190" xfId="0" applyBorder="1" applyAlignment="1">
      <alignment wrapText="1"/>
    </xf>
    <xf numFmtId="164" fontId="0" fillId="0" borderId="99" xfId="0" applyNumberFormat="1" applyBorder="1"/>
    <xf numFmtId="164" fontId="0" fillId="0" borderId="182" xfId="0" applyNumberFormat="1" applyBorder="1"/>
    <xf numFmtId="0" fontId="0" fillId="0" borderId="194" xfId="0" applyBorder="1"/>
    <xf numFmtId="0" fontId="3" fillId="0" borderId="162" xfId="0" applyFont="1" applyBorder="1" applyAlignment="1">
      <alignment wrapText="1"/>
    </xf>
    <xf numFmtId="0" fontId="3" fillId="0" borderId="163" xfId="0" applyFont="1" applyBorder="1" applyAlignment="1">
      <alignment wrapText="1"/>
    </xf>
    <xf numFmtId="10" fontId="3" fillId="0" borderId="97" xfId="3" applyNumberFormat="1" applyFont="1" applyBorder="1"/>
    <xf numFmtId="44" fontId="3" fillId="0" borderId="203" xfId="0" applyNumberFormat="1" applyFont="1" applyBorder="1"/>
    <xf numFmtId="0" fontId="3" fillId="0" borderId="212" xfId="0" applyFont="1" applyBorder="1"/>
    <xf numFmtId="0" fontId="0" fillId="0" borderId="214" xfId="0" applyBorder="1" applyAlignment="1">
      <alignment wrapText="1"/>
    </xf>
    <xf numFmtId="44" fontId="0" fillId="0" borderId="215" xfId="0" applyNumberFormat="1" applyBorder="1" applyAlignment="1">
      <alignment vertical="center"/>
    </xf>
    <xf numFmtId="44" fontId="0" fillId="0" borderId="126" xfId="0" applyNumberFormat="1" applyBorder="1" applyAlignment="1">
      <alignment vertical="center"/>
    </xf>
    <xf numFmtId="0" fontId="3" fillId="0" borderId="164" xfId="0" applyFont="1" applyBorder="1" applyAlignment="1">
      <alignment horizontal="center" vertical="center"/>
    </xf>
    <xf numFmtId="2" fontId="3" fillId="0" borderId="85" xfId="0" applyNumberFormat="1" applyFont="1" applyBorder="1"/>
    <xf numFmtId="0" fontId="3" fillId="0" borderId="253" xfId="0" applyFont="1" applyBorder="1"/>
    <xf numFmtId="0" fontId="0" fillId="20" borderId="109" xfId="0" applyFill="1" applyBorder="1"/>
    <xf numFmtId="9" fontId="3" fillId="0" borderId="228" xfId="3" applyFont="1" applyBorder="1"/>
    <xf numFmtId="9" fontId="65" fillId="0" borderId="269" xfId="3" applyFont="1" applyBorder="1"/>
    <xf numFmtId="44" fontId="65" fillId="0" borderId="177" xfId="0" applyNumberFormat="1" applyFont="1" applyBorder="1"/>
    <xf numFmtId="0" fontId="0" fillId="0" borderId="270" xfId="0" applyBorder="1"/>
    <xf numFmtId="0" fontId="0" fillId="0" borderId="271" xfId="0" applyBorder="1"/>
    <xf numFmtId="9" fontId="0" fillId="0" borderId="210" xfId="3" applyFont="1" applyBorder="1"/>
    <xf numFmtId="9" fontId="0" fillId="0" borderId="212" xfId="3" applyFont="1" applyBorder="1"/>
    <xf numFmtId="44" fontId="0" fillId="0" borderId="253" xfId="0" applyNumberFormat="1" applyBorder="1"/>
    <xf numFmtId="44" fontId="0" fillId="0" borderId="212" xfId="0" applyNumberFormat="1" applyBorder="1"/>
    <xf numFmtId="0" fontId="3" fillId="0" borderId="174" xfId="0" applyFont="1" applyBorder="1"/>
    <xf numFmtId="9" fontId="0" fillId="0" borderId="215" xfId="3" applyFont="1" applyBorder="1"/>
    <xf numFmtId="9" fontId="0" fillId="0" borderId="216" xfId="3" applyFont="1" applyBorder="1"/>
    <xf numFmtId="44" fontId="0" fillId="0" borderId="109" xfId="0" applyNumberFormat="1" applyBorder="1"/>
    <xf numFmtId="44" fontId="0" fillId="0" borderId="216" xfId="0" applyNumberFormat="1" applyBorder="1"/>
    <xf numFmtId="0" fontId="3" fillId="0" borderId="226" xfId="0" applyFont="1" applyBorder="1" applyAlignment="1">
      <alignment vertical="center" wrapText="1"/>
    </xf>
    <xf numFmtId="0" fontId="3" fillId="0" borderId="119" xfId="0" applyFont="1" applyBorder="1" applyAlignment="1">
      <alignment vertical="center" wrapText="1"/>
    </xf>
    <xf numFmtId="0" fontId="3" fillId="0" borderId="176" xfId="0" applyFont="1" applyBorder="1" applyAlignment="1">
      <alignment vertical="center"/>
    </xf>
    <xf numFmtId="0" fontId="3" fillId="0" borderId="226" xfId="0" applyFont="1" applyBorder="1" applyAlignment="1">
      <alignment vertical="center"/>
    </xf>
    <xf numFmtId="0" fontId="3" fillId="0" borderId="119" xfId="0" applyFont="1" applyBorder="1" applyAlignment="1">
      <alignment vertical="center"/>
    </xf>
    <xf numFmtId="9" fontId="3" fillId="0" borderId="177" xfId="3" applyFont="1" applyBorder="1"/>
    <xf numFmtId="9" fontId="3" fillId="0" borderId="167" xfId="3" applyFont="1" applyBorder="1"/>
    <xf numFmtId="44" fontId="0" fillId="0" borderId="177" xfId="2" applyFont="1" applyBorder="1"/>
    <xf numFmtId="44" fontId="0" fillId="0" borderId="162" xfId="2" applyFont="1" applyBorder="1"/>
    <xf numFmtId="44" fontId="0" fillId="0" borderId="164" xfId="2" applyFont="1" applyBorder="1"/>
    <xf numFmtId="0" fontId="3" fillId="0" borderId="85" xfId="0" applyFont="1" applyBorder="1"/>
    <xf numFmtId="44" fontId="0" fillId="0" borderId="203" xfId="2" applyFont="1" applyBorder="1"/>
    <xf numFmtId="44" fontId="0" fillId="0" borderId="272" xfId="0" applyNumberFormat="1" applyBorder="1" applyAlignment="1">
      <alignment vertical="center"/>
    </xf>
    <xf numFmtId="44" fontId="0" fillId="0" borderId="251" xfId="2" applyFont="1" applyBorder="1"/>
    <xf numFmtId="0" fontId="0" fillId="0" borderId="175" xfId="0" applyBorder="1" applyAlignment="1">
      <alignment vertical="center" wrapText="1"/>
    </xf>
    <xf numFmtId="9" fontId="1" fillId="0" borderId="215" xfId="3" applyFont="1" applyBorder="1" applyAlignment="1">
      <alignment vertical="center"/>
    </xf>
    <xf numFmtId="9" fontId="0" fillId="0" borderId="126" xfId="3" applyFont="1" applyBorder="1" applyAlignment="1">
      <alignment vertical="center"/>
    </xf>
    <xf numFmtId="44" fontId="0" fillId="0" borderId="216" xfId="0" applyNumberFormat="1" applyBorder="1" applyAlignment="1">
      <alignment vertical="center"/>
    </xf>
    <xf numFmtId="44" fontId="0" fillId="0" borderId="273" xfId="0" applyNumberFormat="1" applyBorder="1" applyAlignment="1">
      <alignment vertical="center"/>
    </xf>
    <xf numFmtId="44" fontId="0" fillId="0" borderId="252" xfId="2" applyFont="1" applyBorder="1" applyAlignment="1">
      <alignment vertical="center"/>
    </xf>
    <xf numFmtId="0" fontId="3" fillId="0" borderId="173" xfId="0" applyFont="1" applyBorder="1" applyAlignment="1">
      <alignment vertical="center" wrapText="1"/>
    </xf>
    <xf numFmtId="0" fontId="3" fillId="0" borderId="85" xfId="0" applyFont="1" applyBorder="1" applyAlignment="1">
      <alignment vertical="center"/>
    </xf>
    <xf numFmtId="9" fontId="3" fillId="0" borderId="97" xfId="3" applyFont="1" applyBorder="1"/>
    <xf numFmtId="44" fontId="0" fillId="0" borderId="98" xfId="0" applyNumberFormat="1" applyBorder="1"/>
    <xf numFmtId="9" fontId="0" fillId="0" borderId="97" xfId="3" applyFont="1" applyBorder="1"/>
    <xf numFmtId="44" fontId="0" fillId="0" borderId="171" xfId="2" applyFont="1" applyBorder="1"/>
    <xf numFmtId="44" fontId="0" fillId="0" borderId="171" xfId="0" applyNumberFormat="1" applyBorder="1"/>
    <xf numFmtId="9" fontId="0" fillId="0" borderId="222" xfId="3" applyFont="1" applyBorder="1"/>
    <xf numFmtId="44" fontId="0" fillId="0" borderId="223" xfId="0" applyNumberFormat="1" applyBorder="1"/>
    <xf numFmtId="0" fontId="3" fillId="0" borderId="97" xfId="0" applyFont="1" applyBorder="1"/>
    <xf numFmtId="9" fontId="3" fillId="0" borderId="162" xfId="0" applyNumberFormat="1" applyFont="1" applyBorder="1" applyAlignment="1">
      <alignment vertical="center"/>
    </xf>
    <xf numFmtId="166" fontId="3" fillId="0" borderId="163" xfId="7" applyNumberFormat="1" applyFont="1" applyBorder="1" applyAlignment="1">
      <alignment vertical="center"/>
    </xf>
    <xf numFmtId="170" fontId="0" fillId="0" borderId="213" xfId="3" applyNumberFormat="1" applyFont="1" applyBorder="1"/>
    <xf numFmtId="166" fontId="0" fillId="0" borderId="203" xfId="7" applyNumberFormat="1" applyFont="1" applyBorder="1"/>
    <xf numFmtId="166" fontId="0" fillId="0" borderId="91" xfId="7" applyNumberFormat="1" applyFont="1" applyBorder="1"/>
    <xf numFmtId="9" fontId="0" fillId="11" borderId="98" xfId="0" applyNumberFormat="1" applyFill="1" applyBorder="1"/>
    <xf numFmtId="0" fontId="0" fillId="0" borderId="221" xfId="0" applyBorder="1"/>
    <xf numFmtId="164" fontId="0" fillId="0" borderId="168" xfId="7" applyFont="1" applyBorder="1"/>
    <xf numFmtId="164" fontId="0" fillId="0" borderId="174" xfId="7" applyFont="1" applyBorder="1"/>
    <xf numFmtId="0" fontId="0" fillId="0" borderId="274" xfId="0" applyBorder="1"/>
    <xf numFmtId="164" fontId="0" fillId="20" borderId="164" xfId="7" applyFont="1" applyFill="1" applyBorder="1"/>
    <xf numFmtId="166" fontId="0" fillId="0" borderId="126" xfId="7" applyNumberFormat="1" applyFont="1" applyBorder="1"/>
    <xf numFmtId="9" fontId="0" fillId="0" borderId="0" xfId="0" applyNumberFormat="1" applyAlignment="1">
      <alignment vertical="center"/>
    </xf>
    <xf numFmtId="44" fontId="3" fillId="0" borderId="85" xfId="0" applyNumberFormat="1" applyFont="1" applyBorder="1"/>
    <xf numFmtId="44" fontId="3" fillId="0" borderId="97" xfId="0" applyNumberFormat="1" applyFont="1" applyBorder="1" applyAlignment="1">
      <alignment horizontal="center" vertical="center" wrapText="1"/>
    </xf>
    <xf numFmtId="44" fontId="3" fillId="0" borderId="171" xfId="0" applyNumberFormat="1" applyFont="1" applyBorder="1" applyAlignment="1">
      <alignment horizontal="center" vertical="center" wrapText="1"/>
    </xf>
    <xf numFmtId="0" fontId="67" fillId="0" borderId="98" xfId="0" applyFont="1" applyBorder="1"/>
    <xf numFmtId="44" fontId="0" fillId="0" borderId="0" xfId="0" applyNumberFormat="1" applyAlignment="1">
      <alignment horizontal="center" vertical="center" wrapText="1"/>
    </xf>
    <xf numFmtId="44" fontId="17" fillId="0" borderId="85" xfId="0" applyNumberFormat="1" applyFont="1" applyBorder="1"/>
    <xf numFmtId="44" fontId="17" fillId="0" borderId="97" xfId="0" applyNumberFormat="1" applyFont="1" applyBorder="1" applyAlignment="1">
      <alignment horizontal="center" vertical="center" wrapText="1"/>
    </xf>
    <xf numFmtId="44" fontId="17" fillId="0" borderId="171" xfId="0" applyNumberFormat="1" applyFont="1" applyBorder="1" applyAlignment="1">
      <alignment horizontal="center" vertical="center" wrapText="1"/>
    </xf>
    <xf numFmtId="44" fontId="17" fillId="0" borderId="98" xfId="0" applyNumberFormat="1" applyFont="1" applyBorder="1" applyAlignment="1">
      <alignment horizontal="center" vertical="center" wrapText="1"/>
    </xf>
    <xf numFmtId="44" fontId="0" fillId="0" borderId="0" xfId="2" applyFont="1" applyAlignment="1">
      <alignment horizontal="center" vertical="center" wrapText="1"/>
    </xf>
    <xf numFmtId="9" fontId="3" fillId="0" borderId="0" xfId="0" applyNumberFormat="1" applyFont="1" applyAlignment="1">
      <alignment vertical="center" wrapText="1"/>
    </xf>
    <xf numFmtId="164" fontId="0" fillId="0" borderId="83" xfId="0" applyNumberFormat="1" applyBorder="1"/>
    <xf numFmtId="0" fontId="0" fillId="0" borderId="99" xfId="0" applyBorder="1"/>
    <xf numFmtId="0" fontId="0" fillId="0" borderId="182" xfId="0" applyBorder="1" applyAlignment="1">
      <alignment horizontal="center" vertical="center"/>
    </xf>
    <xf numFmtId="164" fontId="0" fillId="0" borderId="84" xfId="0" applyNumberFormat="1" applyBorder="1"/>
    <xf numFmtId="164" fontId="0" fillId="0" borderId="84" xfId="0" applyNumberFormat="1" applyBorder="1" applyAlignment="1">
      <alignment vertical="center"/>
    </xf>
    <xf numFmtId="164" fontId="0" fillId="0" borderId="91" xfId="7" applyFont="1" applyBorder="1" applyAlignment="1">
      <alignment vertical="center"/>
    </xf>
    <xf numFmtId="164" fontId="0" fillId="0" borderId="82" xfId="7" applyFont="1" applyBorder="1" applyAlignment="1">
      <alignment vertical="center"/>
    </xf>
    <xf numFmtId="164" fontId="0" fillId="0" borderId="83" xfId="7" applyFont="1" applyBorder="1" applyAlignment="1">
      <alignment vertical="center"/>
    </xf>
    <xf numFmtId="164" fontId="0" fillId="0" borderId="84" xfId="7" applyFont="1" applyBorder="1" applyAlignment="1">
      <alignment vertical="center"/>
    </xf>
    <xf numFmtId="0" fontId="0" fillId="0" borderId="91" xfId="0" applyBorder="1" applyAlignment="1">
      <alignment vertical="center" wrapText="1"/>
    </xf>
    <xf numFmtId="164" fontId="0" fillId="0" borderId="253" xfId="0" applyNumberFormat="1" applyBorder="1"/>
    <xf numFmtId="164" fontId="0" fillId="0" borderId="84" xfId="7" applyFont="1" applyFill="1" applyBorder="1"/>
    <xf numFmtId="0" fontId="0" fillId="0" borderId="83" xfId="0" applyBorder="1" applyAlignment="1">
      <alignment wrapText="1"/>
    </xf>
    <xf numFmtId="164" fontId="0" fillId="0" borderId="175" xfId="0" applyNumberFormat="1" applyBorder="1"/>
    <xf numFmtId="164" fontId="0" fillId="0" borderId="0" xfId="7" applyFont="1" applyFill="1"/>
    <xf numFmtId="0" fontId="0" fillId="0" borderId="275" xfId="0" applyBorder="1"/>
    <xf numFmtId="164" fontId="0" fillId="0" borderId="98" xfId="0" applyNumberFormat="1" applyBorder="1"/>
    <xf numFmtId="0" fontId="0" fillId="0" borderId="85" xfId="0" applyBorder="1"/>
    <xf numFmtId="164" fontId="3" fillId="0" borderId="91" xfId="0" applyNumberFormat="1" applyFont="1" applyBorder="1" applyAlignment="1">
      <alignment vertical="center"/>
    </xf>
    <xf numFmtId="164" fontId="0" fillId="0" borderId="82" xfId="0" applyNumberFormat="1" applyBorder="1"/>
    <xf numFmtId="164" fontId="17" fillId="0" borderId="105" xfId="7" quotePrefix="1" applyFont="1" applyBorder="1"/>
    <xf numFmtId="164" fontId="0" fillId="0" borderId="183" xfId="7" applyFont="1" applyBorder="1" applyAlignment="1">
      <alignment vertical="center" wrapText="1"/>
    </xf>
    <xf numFmtId="44" fontId="3" fillId="0" borderId="0" xfId="2" applyFont="1" applyFill="1" applyBorder="1" applyAlignment="1">
      <alignment horizontal="center" vertical="center" wrapText="1"/>
    </xf>
    <xf numFmtId="0" fontId="67" fillId="0" borderId="0" xfId="0" applyFont="1"/>
    <xf numFmtId="44" fontId="3" fillId="0" borderId="221" xfId="2" applyFont="1" applyFill="1" applyBorder="1" applyAlignment="1">
      <alignment horizontal="center" vertical="center" wrapText="1"/>
    </xf>
    <xf numFmtId="44" fontId="3" fillId="0" borderId="276" xfId="2" applyFont="1" applyFill="1" applyBorder="1" applyAlignment="1">
      <alignment horizontal="center" vertical="center" wrapText="1"/>
    </xf>
    <xf numFmtId="164" fontId="3" fillId="0" borderId="167" xfId="7" applyFont="1" applyFill="1" applyBorder="1" applyAlignment="1">
      <alignment horizontal="center" vertical="center" wrapText="1"/>
    </xf>
    <xf numFmtId="0" fontId="67" fillId="0" borderId="168" xfId="0" applyFont="1" applyBorder="1"/>
    <xf numFmtId="44" fontId="1" fillId="0" borderId="221" xfId="2" applyFont="1" applyFill="1" applyBorder="1" applyAlignment="1">
      <alignment horizontal="center" vertical="center" wrapText="1"/>
    </xf>
    <xf numFmtId="44" fontId="1" fillId="0" borderId="167" xfId="2" applyFont="1" applyFill="1" applyBorder="1" applyAlignment="1">
      <alignment horizontal="center" vertical="center" wrapText="1"/>
    </xf>
    <xf numFmtId="9" fontId="1" fillId="0" borderId="167" xfId="2" applyNumberFormat="1" applyFont="1" applyFill="1" applyBorder="1" applyAlignment="1">
      <alignment horizontal="center" vertical="center" wrapText="1"/>
    </xf>
    <xf numFmtId="164" fontId="1" fillId="0" borderId="167" xfId="7" applyFont="1" applyFill="1" applyBorder="1" applyAlignment="1">
      <alignment horizontal="center" vertical="center" wrapText="1"/>
    </xf>
    <xf numFmtId="0" fontId="68" fillId="0" borderId="177" xfId="0" applyFont="1" applyBorder="1" applyAlignment="1">
      <alignment wrapText="1"/>
    </xf>
    <xf numFmtId="44" fontId="1" fillId="0" borderId="222" xfId="2" applyFont="1" applyFill="1" applyBorder="1" applyAlignment="1">
      <alignment horizontal="center" vertical="center" wrapText="1"/>
    </xf>
    <xf numFmtId="44" fontId="1" fillId="0" borderId="0" xfId="2" applyFont="1" applyFill="1" applyBorder="1" applyAlignment="1">
      <alignment horizontal="center" vertical="center" wrapText="1"/>
    </xf>
    <xf numFmtId="10" fontId="1" fillId="15" borderId="0" xfId="2" applyNumberFormat="1" applyFont="1" applyFill="1" applyBorder="1" applyAlignment="1">
      <alignment horizontal="center" vertical="center" wrapText="1"/>
    </xf>
    <xf numFmtId="164" fontId="1" fillId="0" borderId="0" xfId="7" applyFont="1" applyFill="1" applyBorder="1" applyAlignment="1">
      <alignment horizontal="center" vertical="center" wrapText="1"/>
    </xf>
    <xf numFmtId="0" fontId="68" fillId="0" borderId="175" xfId="0" applyFont="1" applyBorder="1" applyAlignment="1">
      <alignment wrapText="1"/>
    </xf>
    <xf numFmtId="44" fontId="1" fillId="0" borderId="172" xfId="2" applyFont="1" applyFill="1" applyBorder="1" applyAlignment="1">
      <alignment horizontal="center" vertical="center" wrapText="1"/>
    </xf>
    <xf numFmtId="44" fontId="1" fillId="0" borderId="173" xfId="2" applyFont="1" applyFill="1" applyBorder="1" applyAlignment="1">
      <alignment horizontal="center" vertical="center" wrapText="1"/>
    </xf>
    <xf numFmtId="9" fontId="1" fillId="0" borderId="173" xfId="2" applyNumberFormat="1" applyFont="1" applyFill="1" applyBorder="1" applyAlignment="1">
      <alignment horizontal="center" vertical="center" wrapText="1"/>
    </xf>
    <xf numFmtId="164" fontId="1" fillId="0" borderId="173" xfId="7" applyFont="1" applyFill="1" applyBorder="1" applyAlignment="1">
      <alignment horizontal="center" vertical="center" wrapText="1"/>
    </xf>
    <xf numFmtId="0" fontId="68" fillId="0" borderId="176" xfId="0" applyFont="1" applyBorder="1" applyAlignment="1">
      <alignment wrapText="1"/>
    </xf>
    <xf numFmtId="44" fontId="3" fillId="0" borderId="97" xfId="2" applyFont="1" applyFill="1" applyBorder="1" applyAlignment="1">
      <alignment horizontal="center" vertical="center" wrapText="1"/>
    </xf>
    <xf numFmtId="44" fontId="3" fillId="0" borderId="171" xfId="2" applyFont="1" applyFill="1" applyBorder="1" applyAlignment="1">
      <alignment horizontal="center" vertical="center" wrapText="1"/>
    </xf>
    <xf numFmtId="44" fontId="3" fillId="0" borderId="98" xfId="2" applyFont="1" applyFill="1" applyBorder="1" applyAlignment="1">
      <alignment horizontal="center" vertical="center" wrapText="1"/>
    </xf>
    <xf numFmtId="0" fontId="67" fillId="0" borderId="85" xfId="0" applyFont="1" applyBorder="1" applyAlignment="1">
      <alignment wrapText="1"/>
    </xf>
    <xf numFmtId="44" fontId="0" fillId="0" borderId="177" xfId="0" applyNumberFormat="1" applyBorder="1"/>
    <xf numFmtId="0" fontId="45" fillId="0" borderId="0" xfId="0" applyFont="1" applyAlignment="1">
      <alignment vertical="center" wrapText="1"/>
    </xf>
    <xf numFmtId="44" fontId="0" fillId="0" borderId="176" xfId="2" applyFont="1" applyBorder="1" applyAlignment="1">
      <alignment vertical="center"/>
    </xf>
    <xf numFmtId="0" fontId="67" fillId="0" borderId="98" xfId="0" applyFont="1" applyBorder="1" applyAlignment="1">
      <alignment vertical="center"/>
    </xf>
    <xf numFmtId="44" fontId="0" fillId="18" borderId="0" xfId="0" applyNumberFormat="1" applyFill="1" applyAlignment="1">
      <alignment horizontal="center" vertical="center" wrapText="1"/>
    </xf>
    <xf numFmtId="0" fontId="3" fillId="18" borderId="85" xfId="0" applyFont="1" applyFill="1" applyBorder="1" applyAlignment="1">
      <alignment vertical="center" wrapText="1"/>
    </xf>
    <xf numFmtId="44" fontId="0" fillId="0" borderId="78" xfId="0" applyNumberFormat="1" applyBorder="1"/>
    <xf numFmtId="44" fontId="3" fillId="0" borderId="0" xfId="0" applyNumberFormat="1" applyFont="1" applyAlignment="1">
      <alignment horizontal="center" vertical="center" wrapText="1"/>
    </xf>
    <xf numFmtId="44" fontId="0" fillId="28" borderId="0" xfId="0" applyNumberFormat="1" applyFill="1"/>
    <xf numFmtId="44" fontId="0" fillId="28" borderId="0" xfId="0" applyNumberFormat="1" applyFill="1" applyAlignment="1">
      <alignment horizontal="center" vertical="center" wrapText="1"/>
    </xf>
    <xf numFmtId="0" fontId="45" fillId="28" borderId="0" xfId="0" applyFont="1" applyFill="1"/>
    <xf numFmtId="44" fontId="0" fillId="0" borderId="82" xfId="0" applyNumberFormat="1" applyBorder="1" applyAlignment="1">
      <alignment vertical="center"/>
    </xf>
    <xf numFmtId="44" fontId="0" fillId="0" borderId="83" xfId="0" applyNumberFormat="1" applyBorder="1" applyAlignment="1">
      <alignment vertical="center"/>
    </xf>
    <xf numFmtId="44" fontId="0" fillId="0" borderId="84" xfId="0" applyNumberFormat="1" applyBorder="1" applyAlignment="1">
      <alignment vertical="center"/>
    </xf>
    <xf numFmtId="44" fontId="3" fillId="0" borderId="97" xfId="0" applyNumberFormat="1" applyFont="1" applyBorder="1" applyAlignment="1">
      <alignment vertical="center"/>
    </xf>
    <xf numFmtId="44" fontId="3" fillId="0" borderId="277" xfId="2" applyFont="1" applyBorder="1" applyAlignment="1">
      <alignment vertical="center"/>
    </xf>
    <xf numFmtId="44" fontId="3" fillId="0" borderId="278" xfId="2" applyFont="1" applyBorder="1" applyAlignment="1">
      <alignment vertical="center"/>
    </xf>
    <xf numFmtId="0" fontId="3" fillId="0" borderId="98" xfId="0" applyFont="1" applyBorder="1" applyAlignment="1">
      <alignment wrapText="1"/>
    </xf>
    <xf numFmtId="44" fontId="0" fillId="0" borderId="279" xfId="0" applyNumberFormat="1" applyBorder="1"/>
    <xf numFmtId="44" fontId="0" fillId="0" borderId="280" xfId="0" applyNumberFormat="1" applyBorder="1"/>
    <xf numFmtId="44" fontId="0" fillId="0" borderId="281" xfId="0" applyNumberFormat="1" applyBorder="1"/>
    <xf numFmtId="44" fontId="0" fillId="0" borderId="99" xfId="0" applyNumberFormat="1" applyBorder="1" applyAlignment="1">
      <alignment vertical="center"/>
    </xf>
    <xf numFmtId="44" fontId="0" fillId="0" borderId="182" xfId="0" applyNumberFormat="1" applyBorder="1" applyAlignment="1">
      <alignment vertical="center"/>
    </xf>
    <xf numFmtId="44" fontId="0" fillId="0" borderId="183" xfId="0" applyNumberFormat="1" applyBorder="1" applyAlignment="1">
      <alignment vertical="center"/>
    </xf>
    <xf numFmtId="0" fontId="0" fillId="0" borderId="105" xfId="0" applyBorder="1" applyAlignment="1">
      <alignment wrapText="1"/>
    </xf>
    <xf numFmtId="0" fontId="0" fillId="0" borderId="101" xfId="0" applyBorder="1" applyAlignment="1">
      <alignment horizontal="center"/>
    </xf>
    <xf numFmtId="0" fontId="3" fillId="0" borderId="97" xfId="0" applyFont="1" applyBorder="1" applyAlignment="1">
      <alignment horizontal="center" vertical="center" wrapText="1"/>
    </xf>
    <xf numFmtId="0" fontId="3" fillId="0" borderId="171" xfId="0" applyFont="1" applyBorder="1" applyAlignment="1">
      <alignment horizontal="center" vertical="center"/>
    </xf>
    <xf numFmtId="0" fontId="3" fillId="0" borderId="98" xfId="0" applyFont="1" applyBorder="1" applyAlignment="1">
      <alignment horizontal="left" vertical="center"/>
    </xf>
    <xf numFmtId="9" fontId="25" fillId="0" borderId="85" xfId="3" applyFont="1" applyBorder="1" applyAlignment="1">
      <alignment vertical="center"/>
    </xf>
    <xf numFmtId="9" fontId="3" fillId="0" borderId="162" xfId="3" applyFont="1" applyBorder="1" applyAlignment="1">
      <alignment vertical="center"/>
    </xf>
    <xf numFmtId="9" fontId="3" fillId="0" borderId="163" xfId="3" applyFont="1" applyBorder="1" applyAlignment="1">
      <alignment vertical="center"/>
    </xf>
    <xf numFmtId="9" fontId="3" fillId="0" borderId="164" xfId="3" applyFont="1" applyBorder="1" applyAlignment="1">
      <alignment vertical="center"/>
    </xf>
    <xf numFmtId="44" fontId="69" fillId="0" borderId="97" xfId="2" applyFont="1" applyBorder="1" applyAlignment="1">
      <alignment vertical="center"/>
    </xf>
    <xf numFmtId="44" fontId="3" fillId="0" borderId="164" xfId="2" applyFont="1" applyBorder="1" applyAlignment="1">
      <alignment vertical="center"/>
    </xf>
    <xf numFmtId="0" fontId="3" fillId="0" borderId="85" xfId="0" applyFont="1" applyBorder="1" applyAlignment="1">
      <alignment wrapText="1"/>
    </xf>
    <xf numFmtId="44" fontId="17" fillId="0" borderId="85" xfId="2" applyFont="1" applyBorder="1" applyAlignment="1">
      <alignment vertical="center"/>
    </xf>
    <xf numFmtId="44" fontId="17" fillId="0" borderId="98" xfId="0" applyNumberFormat="1" applyFont="1" applyBorder="1" applyAlignment="1">
      <alignment vertical="center"/>
    </xf>
    <xf numFmtId="44" fontId="17" fillId="0" borderId="162" xfId="0" applyNumberFormat="1" applyFont="1" applyBorder="1" applyAlignment="1">
      <alignment vertical="center"/>
    </xf>
    <xf numFmtId="44" fontId="17" fillId="0" borderId="163" xfId="0" applyNumberFormat="1" applyFont="1" applyBorder="1" applyAlignment="1">
      <alignment vertical="center"/>
    </xf>
    <xf numFmtId="44" fontId="17" fillId="0" borderId="164" xfId="0" applyNumberFormat="1" applyFont="1" applyBorder="1" applyAlignment="1">
      <alignment vertical="center"/>
    </xf>
    <xf numFmtId="0" fontId="17" fillId="0" borderId="85" xfId="0" applyFont="1" applyBorder="1" applyAlignment="1">
      <alignment vertical="center" wrapText="1"/>
    </xf>
    <xf numFmtId="44" fontId="0" fillId="0" borderId="253" xfId="2" applyFont="1" applyBorder="1" applyAlignment="1">
      <alignment vertical="center"/>
    </xf>
    <xf numFmtId="44" fontId="0" fillId="0" borderId="111" xfId="0" applyNumberFormat="1" applyBorder="1" applyAlignment="1">
      <alignment vertical="center"/>
    </xf>
    <xf numFmtId="44" fontId="0" fillId="0" borderId="210" xfId="0" applyNumberFormat="1" applyBorder="1" applyAlignment="1">
      <alignment vertical="center"/>
    </xf>
    <xf numFmtId="44" fontId="0" fillId="0" borderId="203" xfId="0" applyNumberFormat="1" applyBorder="1" applyAlignment="1">
      <alignment vertical="center"/>
    </xf>
    <xf numFmtId="44" fontId="0" fillId="0" borderId="254" xfId="2" applyFont="1" applyBorder="1" applyAlignment="1">
      <alignment vertical="center"/>
    </xf>
    <xf numFmtId="44" fontId="0" fillId="0" borderId="213" xfId="0" applyNumberFormat="1" applyBorder="1"/>
    <xf numFmtId="44" fontId="0" fillId="0" borderId="109" xfId="2" applyFont="1" applyBorder="1" applyAlignment="1">
      <alignment vertical="center"/>
    </xf>
    <xf numFmtId="44" fontId="0" fillId="0" borderId="126" xfId="0" applyNumberFormat="1" applyBorder="1"/>
    <xf numFmtId="44" fontId="17" fillId="0" borderId="85" xfId="0" applyNumberFormat="1" applyFont="1" applyBorder="1" applyAlignment="1">
      <alignment vertical="center"/>
    </xf>
    <xf numFmtId="44" fontId="17" fillId="0" borderId="97" xfId="0" applyNumberFormat="1" applyFont="1" applyBorder="1" applyAlignment="1">
      <alignment vertical="center"/>
    </xf>
    <xf numFmtId="44" fontId="17" fillId="0" borderId="171" xfId="0" applyNumberFormat="1" applyFont="1" applyBorder="1" applyAlignment="1">
      <alignment vertical="center"/>
    </xf>
    <xf numFmtId="0" fontId="17" fillId="0" borderId="174" xfId="0" applyFont="1" applyBorder="1" applyAlignment="1">
      <alignment vertical="center" wrapText="1"/>
    </xf>
    <xf numFmtId="164" fontId="0" fillId="0" borderId="164" xfId="7" applyFont="1" applyFill="1" applyBorder="1"/>
    <xf numFmtId="2" fontId="0" fillId="0" borderId="82" xfId="7" applyNumberFormat="1" applyFont="1" applyBorder="1" applyAlignment="1">
      <alignment vertical="center"/>
    </xf>
    <xf numFmtId="2" fontId="0" fillId="0" borderId="83" xfId="7" applyNumberFormat="1" applyFont="1" applyBorder="1" applyAlignment="1">
      <alignment vertical="center"/>
    </xf>
    <xf numFmtId="2" fontId="0" fillId="0" borderId="84" xfId="7" applyNumberFormat="1" applyFont="1" applyBorder="1" applyAlignment="1">
      <alignment vertical="center"/>
    </xf>
    <xf numFmtId="164" fontId="0" fillId="0" borderId="91" xfId="0" applyNumberFormat="1" applyBorder="1"/>
    <xf numFmtId="164" fontId="0" fillId="28" borderId="82" xfId="0" applyNumberFormat="1" applyFill="1" applyBorder="1"/>
    <xf numFmtId="164" fontId="0" fillId="28" borderId="83" xfId="0" applyNumberFormat="1" applyFill="1" applyBorder="1"/>
    <xf numFmtId="164" fontId="0" fillId="28" borderId="84" xfId="0" applyNumberFormat="1" applyFill="1" applyBorder="1"/>
    <xf numFmtId="164" fontId="0" fillId="0" borderId="82" xfId="7" applyFont="1" applyBorder="1"/>
    <xf numFmtId="2" fontId="0" fillId="0" borderId="83" xfId="7" applyNumberFormat="1" applyFont="1" applyBorder="1"/>
    <xf numFmtId="164" fontId="0" fillId="0" borderId="83" xfId="7" applyFont="1" applyBorder="1"/>
    <xf numFmtId="164" fontId="0" fillId="0" borderId="84" xfId="7" applyFont="1" applyFill="1" applyBorder="1" applyAlignment="1">
      <alignment vertical="center"/>
    </xf>
    <xf numFmtId="164" fontId="0" fillId="0" borderId="101" xfId="7" applyFont="1" applyBorder="1"/>
    <xf numFmtId="164" fontId="0" fillId="0" borderId="0" xfId="7" applyFont="1" applyFill="1" applyAlignment="1">
      <alignment vertical="center"/>
    </xf>
    <xf numFmtId="164" fontId="0" fillId="0" borderId="282" xfId="7" applyFont="1" applyBorder="1"/>
    <xf numFmtId="164" fontId="0" fillId="0" borderId="227" xfId="7" applyFont="1" applyBorder="1"/>
    <xf numFmtId="164" fontId="0" fillId="0" borderId="85" xfId="0" applyNumberFormat="1" applyBorder="1"/>
    <xf numFmtId="0" fontId="0" fillId="22" borderId="97" xfId="0" applyFill="1" applyBorder="1"/>
    <xf numFmtId="0" fontId="0" fillId="22" borderId="171" xfId="0" applyFill="1" applyBorder="1"/>
    <xf numFmtId="0" fontId="0" fillId="22" borderId="98" xfId="0" applyFill="1" applyBorder="1"/>
    <xf numFmtId="164" fontId="0" fillId="0" borderId="189" xfId="7" applyFont="1" applyBorder="1"/>
    <xf numFmtId="164" fontId="0" fillId="0" borderId="190" xfId="7" applyFont="1" applyBorder="1"/>
    <xf numFmtId="164" fontId="0" fillId="0" borderId="0" xfId="7" applyFont="1" applyBorder="1"/>
    <xf numFmtId="164" fontId="0" fillId="0" borderId="105" xfId="7" applyFont="1" applyBorder="1"/>
    <xf numFmtId="164" fontId="0" fillId="0" borderId="182" xfId="7" applyFont="1" applyBorder="1" applyAlignment="1">
      <alignment horizontal="center" vertical="center" wrapText="1"/>
    </xf>
    <xf numFmtId="44" fontId="3" fillId="0" borderId="97" xfId="2" applyFont="1" applyBorder="1" applyAlignment="1">
      <alignment horizontal="center" vertical="center" wrapText="1"/>
    </xf>
    <xf numFmtId="44" fontId="3" fillId="0" borderId="171" xfId="2" applyFont="1" applyBorder="1" applyAlignment="1">
      <alignment horizontal="center" vertical="center" wrapText="1"/>
    </xf>
    <xf numFmtId="44" fontId="3" fillId="0" borderId="98" xfId="2" applyFont="1" applyBorder="1" applyAlignment="1">
      <alignment horizontal="center" vertical="center" wrapText="1"/>
    </xf>
    <xf numFmtId="9" fontId="0" fillId="0" borderId="171" xfId="0" applyNumberFormat="1" applyBorder="1"/>
    <xf numFmtId="0" fontId="0" fillId="0" borderId="98" xfId="0" applyBorder="1" applyAlignment="1">
      <alignment horizontal="center" vertical="center" wrapText="1"/>
    </xf>
    <xf numFmtId="0" fontId="3" fillId="0" borderId="177" xfId="0" applyFont="1" applyBorder="1" applyAlignment="1">
      <alignment wrapText="1"/>
    </xf>
    <xf numFmtId="44" fontId="3" fillId="0" borderId="97" xfId="2" applyFont="1" applyBorder="1" applyAlignment="1">
      <alignment vertical="center"/>
    </xf>
    <xf numFmtId="44" fontId="3" fillId="0" borderId="171" xfId="2" applyFont="1" applyBorder="1" applyAlignment="1">
      <alignment vertical="center"/>
    </xf>
    <xf numFmtId="44" fontId="3" fillId="0" borderId="98" xfId="2" applyFont="1" applyBorder="1" applyAlignment="1">
      <alignment vertical="center"/>
    </xf>
    <xf numFmtId="0" fontId="3" fillId="0" borderId="176" xfId="0" applyFont="1" applyBorder="1"/>
    <xf numFmtId="0" fontId="3" fillId="0" borderId="98" xfId="0" applyFont="1" applyBorder="1" applyAlignment="1">
      <alignment vertical="center" wrapText="1"/>
    </xf>
    <xf numFmtId="44" fontId="17" fillId="0" borderId="171" xfId="0" applyNumberFormat="1" applyFont="1" applyBorder="1"/>
    <xf numFmtId="44" fontId="17" fillId="0" borderId="98" xfId="0" applyNumberFormat="1" applyFont="1" applyBorder="1"/>
    <xf numFmtId="0" fontId="17" fillId="0" borderId="174" xfId="0" applyFont="1" applyBorder="1"/>
    <xf numFmtId="0" fontId="17" fillId="0" borderId="164" xfId="0" applyFont="1" applyBorder="1" applyAlignment="1">
      <alignment vertical="center" wrapText="1"/>
    </xf>
    <xf numFmtId="0" fontId="0" fillId="0" borderId="167" xfId="0" applyBorder="1" applyAlignment="1">
      <alignment vertical="center"/>
    </xf>
    <xf numFmtId="0" fontId="3" fillId="0" borderId="168" xfId="0" applyFont="1" applyBorder="1" applyAlignment="1">
      <alignment vertical="center"/>
    </xf>
    <xf numFmtId="0" fontId="0" fillId="0" borderId="171"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3" fillId="0" borderId="109" xfId="0" applyFont="1" applyBorder="1" applyAlignment="1">
      <alignment vertical="center"/>
    </xf>
    <xf numFmtId="0" fontId="3" fillId="0" borderId="175" xfId="0" applyFont="1" applyBorder="1" applyAlignment="1">
      <alignment vertical="center"/>
    </xf>
    <xf numFmtId="0" fontId="0" fillId="0" borderId="177" xfId="0" applyBorder="1" applyAlignment="1">
      <alignment vertical="center" wrapText="1"/>
    </xf>
    <xf numFmtId="44" fontId="0" fillId="0" borderId="176" xfId="0" applyNumberFormat="1" applyBorder="1" applyAlignment="1">
      <alignment vertical="center" wrapText="1"/>
    </xf>
    <xf numFmtId="0" fontId="3" fillId="5" borderId="98" xfId="0" applyFont="1" applyFill="1" applyBorder="1" applyAlignment="1">
      <alignment vertical="center" wrapText="1"/>
    </xf>
    <xf numFmtId="44" fontId="0" fillId="0" borderId="112" xfId="0" applyNumberFormat="1" applyBorder="1" applyAlignment="1">
      <alignment vertical="center"/>
    </xf>
    <xf numFmtId="0" fontId="25" fillId="11" borderId="98" xfId="0" applyFont="1" applyFill="1" applyBorder="1"/>
    <xf numFmtId="0" fontId="17" fillId="24" borderId="183" xfId="0" applyFont="1" applyFill="1" applyBorder="1"/>
    <xf numFmtId="0" fontId="17" fillId="22" borderId="84" xfId="0" applyFont="1" applyFill="1" applyBorder="1"/>
    <xf numFmtId="0" fontId="0" fillId="28" borderId="190" xfId="0" applyFill="1" applyBorder="1"/>
    <xf numFmtId="0" fontId="0" fillId="28" borderId="78" xfId="0" applyFill="1" applyBorder="1" applyAlignment="1">
      <alignment wrapText="1"/>
    </xf>
    <xf numFmtId="0" fontId="0" fillId="17" borderId="3" xfId="0" applyFill="1" applyBorder="1" applyAlignment="1">
      <alignment horizontal="center"/>
    </xf>
    <xf numFmtId="44" fontId="3" fillId="11" borderId="81" xfId="0" applyNumberFormat="1" applyFont="1" applyFill="1" applyBorder="1"/>
    <xf numFmtId="0" fontId="3" fillId="11" borderId="196" xfId="0" applyFont="1" applyFill="1" applyBorder="1"/>
    <xf numFmtId="44" fontId="0" fillId="29" borderId="75" xfId="0" applyNumberFormat="1" applyFill="1" applyBorder="1" applyAlignment="1">
      <alignment vertical="center" wrapText="1"/>
    </xf>
    <xf numFmtId="0" fontId="3" fillId="29" borderId="6" xfId="0" applyFont="1" applyFill="1" applyBorder="1" applyAlignment="1">
      <alignment vertical="center" wrapText="1"/>
    </xf>
    <xf numFmtId="44" fontId="0" fillId="18" borderId="81" xfId="0" applyNumberFormat="1" applyFill="1" applyBorder="1"/>
    <xf numFmtId="0" fontId="3" fillId="18" borderId="196" xfId="0" applyFont="1" applyFill="1" applyBorder="1"/>
    <xf numFmtId="0" fontId="3" fillId="8" borderId="6" xfId="0" applyFont="1" applyFill="1" applyBorder="1" applyAlignment="1">
      <alignment vertical="center" wrapText="1"/>
    </xf>
    <xf numFmtId="0" fontId="3" fillId="30" borderId="6" xfId="0" applyFont="1" applyFill="1" applyBorder="1" applyAlignment="1">
      <alignment vertical="center" wrapText="1"/>
    </xf>
    <xf numFmtId="0" fontId="3" fillId="31" borderId="6" xfId="0" applyFont="1" applyFill="1" applyBorder="1"/>
    <xf numFmtId="0" fontId="3" fillId="18" borderId="196" xfId="0" applyFont="1" applyFill="1" applyBorder="1" applyAlignment="1">
      <alignment vertical="center" wrapText="1"/>
    </xf>
    <xf numFmtId="0" fontId="3" fillId="23" borderId="6" xfId="0" applyFont="1" applyFill="1" applyBorder="1"/>
    <xf numFmtId="0" fontId="0" fillId="20" borderId="6" xfId="0" applyFill="1" applyBorder="1"/>
    <xf numFmtId="0" fontId="0" fillId="20" borderId="6" xfId="0" applyFill="1" applyBorder="1" applyAlignment="1">
      <alignment vertical="center" wrapText="1"/>
    </xf>
    <xf numFmtId="0" fontId="3" fillId="24" borderId="6" xfId="0" applyFont="1" applyFill="1" applyBorder="1"/>
    <xf numFmtId="0" fontId="3" fillId="24" borderId="6" xfId="0" applyFont="1" applyFill="1" applyBorder="1" applyAlignment="1">
      <alignment horizontal="left"/>
    </xf>
    <xf numFmtId="0" fontId="3" fillId="23" borderId="196" xfId="0" applyFont="1" applyFill="1" applyBorder="1" applyAlignment="1">
      <alignment horizontal="center"/>
    </xf>
    <xf numFmtId="0" fontId="3" fillId="21" borderId="139" xfId="0" applyFont="1" applyFill="1" applyBorder="1"/>
    <xf numFmtId="0" fontId="0" fillId="28" borderId="6" xfId="0" applyFill="1" applyBorder="1" applyAlignment="1">
      <alignment vertical="center" wrapText="1"/>
    </xf>
    <xf numFmtId="0" fontId="17" fillId="22" borderId="6" xfId="0" applyFont="1" applyFill="1" applyBorder="1" applyAlignment="1">
      <alignment vertical="center" wrapText="1"/>
    </xf>
    <xf numFmtId="0" fontId="0" fillId="28" borderId="6" xfId="0" applyFill="1" applyBorder="1" applyAlignment="1">
      <alignment wrapText="1"/>
    </xf>
    <xf numFmtId="0" fontId="17" fillId="22" borderId="6" xfId="0" applyFont="1" applyFill="1" applyBorder="1"/>
    <xf numFmtId="0" fontId="3" fillId="21" borderId="139" xfId="0" applyFont="1" applyFill="1" applyBorder="1" applyAlignment="1">
      <alignment horizontal="center"/>
    </xf>
    <xf numFmtId="3" fontId="38" fillId="3" borderId="110" xfId="7" applyNumberFormat="1" applyFont="1" applyFill="1" applyBorder="1" applyAlignment="1" applyProtection="1">
      <alignment horizontal="center" vertical="center"/>
      <protection locked="0"/>
    </xf>
    <xf numFmtId="3" fontId="38" fillId="3" borderId="180" xfId="7" applyNumberFormat="1" applyFont="1" applyFill="1" applyBorder="1" applyAlignment="1" applyProtection="1">
      <alignment horizontal="center" vertical="center"/>
      <protection locked="0"/>
    </xf>
    <xf numFmtId="0" fontId="12" fillId="11" borderId="112" xfId="4" applyFont="1" applyFill="1" applyBorder="1" applyAlignment="1">
      <alignment vertical="center"/>
    </xf>
    <xf numFmtId="0" fontId="12" fillId="11" borderId="113" xfId="4" applyFont="1" applyFill="1" applyBorder="1" applyAlignment="1">
      <alignment vertical="center"/>
    </xf>
    <xf numFmtId="44" fontId="0" fillId="8" borderId="97" xfId="0" applyNumberFormat="1" applyFill="1" applyBorder="1"/>
    <xf numFmtId="44" fontId="0" fillId="8" borderId="171" xfId="0" applyNumberFormat="1" applyFill="1" applyBorder="1"/>
    <xf numFmtId="44" fontId="0" fillId="8" borderId="85" xfId="0" applyNumberFormat="1" applyFill="1" applyBorder="1"/>
    <xf numFmtId="0" fontId="3" fillId="0" borderId="80" xfId="0" applyFont="1" applyBorder="1"/>
    <xf numFmtId="44" fontId="0" fillId="0" borderId="165" xfId="0" applyNumberFormat="1" applyBorder="1" applyAlignment="1">
      <alignment vertical="center"/>
    </xf>
    <xf numFmtId="44" fontId="0" fillId="0" borderId="7" xfId="0" applyNumberFormat="1" applyBorder="1" applyAlignment="1">
      <alignment vertical="center"/>
    </xf>
    <xf numFmtId="44" fontId="0" fillId="0" borderId="5" xfId="0" applyNumberFormat="1" applyBorder="1"/>
    <xf numFmtId="44" fontId="17" fillId="0" borderId="80" xfId="0" applyNumberFormat="1" applyFont="1" applyBorder="1"/>
    <xf numFmtId="44" fontId="17" fillId="0" borderId="81" xfId="2" applyFont="1" applyBorder="1" applyAlignment="1">
      <alignment vertical="center"/>
    </xf>
    <xf numFmtId="44" fontId="17" fillId="0" borderId="195" xfId="2" applyFont="1" applyBorder="1" applyAlignment="1">
      <alignment vertical="center"/>
    </xf>
    <xf numFmtId="44" fontId="17" fillId="0" borderId="195" xfId="0" applyNumberFormat="1" applyFont="1" applyBorder="1"/>
    <xf numFmtId="44" fontId="3" fillId="23" borderId="239" xfId="2" applyFont="1" applyFill="1" applyBorder="1" applyAlignment="1">
      <alignment vertical="center" wrapText="1"/>
    </xf>
    <xf numFmtId="44" fontId="0" fillId="24" borderId="186" xfId="2" applyFont="1" applyFill="1" applyBorder="1" applyAlignment="1">
      <alignment vertical="center" wrapText="1"/>
    </xf>
    <xf numFmtId="44" fontId="0" fillId="24" borderId="0" xfId="0" applyNumberFormat="1" applyFill="1" applyAlignment="1">
      <alignment vertical="center" wrapText="1"/>
    </xf>
    <xf numFmtId="44" fontId="0" fillId="24" borderId="0" xfId="2" applyFont="1" applyFill="1" applyBorder="1" applyAlignment="1">
      <alignment vertical="center" wrapText="1"/>
    </xf>
    <xf numFmtId="0" fontId="0" fillId="24" borderId="186" xfId="0" applyFill="1" applyBorder="1" applyAlignment="1">
      <alignment vertical="center" wrapText="1"/>
    </xf>
    <xf numFmtId="44" fontId="0" fillId="24" borderId="186" xfId="2" applyFont="1" applyFill="1" applyBorder="1"/>
    <xf numFmtId="44" fontId="0" fillId="24" borderId="0" xfId="0" applyNumberFormat="1" applyFill="1"/>
    <xf numFmtId="44" fontId="0" fillId="24" borderId="0" xfId="2" applyFont="1" applyFill="1"/>
    <xf numFmtId="0" fontId="3" fillId="23" borderId="239" xfId="0" applyFont="1" applyFill="1" applyBorder="1" applyAlignment="1">
      <alignment horizontal="center" vertical="center" wrapText="1"/>
    </xf>
    <xf numFmtId="44" fontId="3" fillId="32" borderId="283" xfId="2" applyFont="1" applyFill="1" applyBorder="1" applyAlignment="1">
      <alignment vertical="center" wrapText="1"/>
    </xf>
    <xf numFmtId="44" fontId="0" fillId="32" borderId="171" xfId="0" applyNumberFormat="1" applyFill="1" applyBorder="1" applyAlignment="1">
      <alignment vertical="center" wrapText="1"/>
    </xf>
    <xf numFmtId="0" fontId="3" fillId="32" borderId="239" xfId="0" applyFont="1" applyFill="1" applyBorder="1" applyAlignment="1">
      <alignment vertical="center" wrapText="1"/>
    </xf>
    <xf numFmtId="44" fontId="0" fillId="33" borderId="186" xfId="2" applyFont="1" applyFill="1" applyBorder="1" applyAlignment="1">
      <alignment vertical="center"/>
    </xf>
    <xf numFmtId="44" fontId="0" fillId="33" borderId="0" xfId="0" applyNumberFormat="1" applyFill="1" applyAlignment="1">
      <alignment vertical="center" wrapText="1"/>
    </xf>
    <xf numFmtId="0" fontId="0" fillId="33" borderId="241" xfId="0" applyFill="1" applyBorder="1" applyAlignment="1">
      <alignment vertical="center" wrapText="1"/>
    </xf>
    <xf numFmtId="44" fontId="0" fillId="33" borderId="186" xfId="2" applyFont="1" applyFill="1" applyBorder="1" applyAlignment="1">
      <alignment horizontal="center" vertical="center"/>
    </xf>
    <xf numFmtId="0" fontId="0" fillId="33" borderId="0" xfId="0" applyFill="1"/>
    <xf numFmtId="0" fontId="0" fillId="33" borderId="71" xfId="0" applyFill="1" applyBorder="1" applyAlignment="1">
      <alignment vertical="center" wrapText="1"/>
    </xf>
    <xf numFmtId="44" fontId="0" fillId="32" borderId="241" xfId="2" applyFont="1" applyFill="1" applyBorder="1" applyAlignment="1">
      <alignment vertical="center" wrapText="1"/>
    </xf>
    <xf numFmtId="44" fontId="0" fillId="32" borderId="167" xfId="0" applyNumberFormat="1" applyFill="1" applyBorder="1" applyAlignment="1">
      <alignment vertical="center" wrapText="1"/>
    </xf>
    <xf numFmtId="44" fontId="0" fillId="32" borderId="219" xfId="0" applyNumberFormat="1" applyFill="1" applyBorder="1" applyAlignment="1">
      <alignment vertical="center" wrapText="1"/>
    </xf>
    <xf numFmtId="0" fontId="3" fillId="32" borderId="239" xfId="0" applyFont="1" applyFill="1" applyBorder="1" applyAlignment="1">
      <alignment horizontal="center"/>
    </xf>
    <xf numFmtId="44" fontId="3" fillId="21" borderId="170" xfId="2" applyFont="1" applyFill="1" applyBorder="1" applyAlignment="1">
      <alignment vertical="center" wrapText="1"/>
    </xf>
    <xf numFmtId="44" fontId="0" fillId="21" borderId="170" xfId="0" applyNumberFormat="1" applyFill="1" applyBorder="1" applyAlignment="1">
      <alignment vertical="center" wrapText="1"/>
    </xf>
    <xf numFmtId="44" fontId="0" fillId="21" borderId="171" xfId="0" applyNumberFormat="1" applyFill="1" applyBorder="1" applyAlignment="1">
      <alignment vertical="center" wrapText="1"/>
    </xf>
    <xf numFmtId="44" fontId="0" fillId="21" borderId="284" xfId="0" applyNumberFormat="1" applyFill="1" applyBorder="1" applyAlignment="1">
      <alignment vertical="center" wrapText="1"/>
    </xf>
    <xf numFmtId="0" fontId="3" fillId="21" borderId="184" xfId="0" applyFont="1" applyFill="1" applyBorder="1" applyAlignment="1">
      <alignment horizontal="left" vertical="center" wrapText="1"/>
    </xf>
    <xf numFmtId="44" fontId="0" fillId="28" borderId="186" xfId="2" applyFont="1" applyFill="1" applyBorder="1" applyAlignment="1">
      <alignment vertical="center"/>
    </xf>
    <xf numFmtId="44" fontId="0" fillId="28" borderId="0" xfId="2" applyFont="1" applyFill="1" applyBorder="1" applyAlignment="1">
      <alignment vertical="center"/>
    </xf>
    <xf numFmtId="44" fontId="0" fillId="28" borderId="0" xfId="2" applyFont="1" applyFill="1" applyAlignment="1">
      <alignment vertical="center"/>
    </xf>
    <xf numFmtId="0" fontId="0" fillId="28" borderId="165" xfId="0" applyFill="1" applyBorder="1" applyAlignment="1">
      <alignment vertical="center" wrapText="1"/>
    </xf>
    <xf numFmtId="0" fontId="0" fillId="28" borderId="186" xfId="0" applyFill="1" applyBorder="1"/>
    <xf numFmtId="0" fontId="0" fillId="28" borderId="186" xfId="0" applyFill="1" applyBorder="1" applyAlignment="1">
      <alignment vertical="center" wrapText="1"/>
    </xf>
    <xf numFmtId="44" fontId="0" fillId="28" borderId="186" xfId="2" applyFont="1" applyFill="1" applyBorder="1" applyAlignment="1">
      <alignment horizontal="center" vertical="center"/>
    </xf>
    <xf numFmtId="0" fontId="17" fillId="28" borderId="186" xfId="0" applyFont="1" applyFill="1" applyBorder="1"/>
    <xf numFmtId="44" fontId="0" fillId="22" borderId="186" xfId="2" applyFont="1" applyFill="1" applyBorder="1" applyAlignment="1">
      <alignment horizontal="center" vertical="center"/>
    </xf>
    <xf numFmtId="44" fontId="0" fillId="22" borderId="0" xfId="2" applyFont="1" applyFill="1" applyBorder="1" applyAlignment="1">
      <alignment vertical="center"/>
    </xf>
    <xf numFmtId="44" fontId="0" fillId="22" borderId="0" xfId="2" applyFont="1" applyFill="1" applyAlignment="1">
      <alignment vertical="center"/>
    </xf>
    <xf numFmtId="0" fontId="70" fillId="22" borderId="186" xfId="0" applyFont="1" applyFill="1" applyBorder="1"/>
    <xf numFmtId="0" fontId="0" fillId="21" borderId="242" xfId="0" applyFill="1" applyBorder="1"/>
    <xf numFmtId="0" fontId="0" fillId="21" borderId="260" xfId="0" applyFill="1" applyBorder="1" applyAlignment="1">
      <alignment horizontal="center"/>
    </xf>
    <xf numFmtId="0" fontId="0" fillId="21" borderId="266" xfId="0" applyFill="1" applyBorder="1" applyAlignment="1">
      <alignment horizontal="center"/>
    </xf>
    <xf numFmtId="0" fontId="0" fillId="21" borderId="261" xfId="0" applyFill="1" applyBorder="1"/>
    <xf numFmtId="0" fontId="3" fillId="0" borderId="285" xfId="0" applyFont="1" applyBorder="1" applyAlignment="1">
      <alignment horizontal="center" vertical="center"/>
    </xf>
    <xf numFmtId="0" fontId="3" fillId="0" borderId="75" xfId="0" applyFont="1" applyBorder="1" applyAlignment="1">
      <alignment horizontal="center" vertical="center"/>
    </xf>
    <xf numFmtId="0" fontId="3" fillId="0" borderId="169" xfId="0" applyFont="1" applyBorder="1" applyAlignment="1">
      <alignment horizontal="center" vertical="center"/>
    </xf>
    <xf numFmtId="0" fontId="3" fillId="0" borderId="242" xfId="0" applyFont="1" applyBorder="1" applyAlignment="1">
      <alignment horizontal="center" vertical="center" wrapText="1"/>
    </xf>
    <xf numFmtId="0" fontId="3" fillId="0" borderId="260" xfId="0" applyFont="1" applyBorder="1" applyAlignment="1">
      <alignment horizontal="center" vertical="center"/>
    </xf>
    <xf numFmtId="43" fontId="0" fillId="0" borderId="81" xfId="1" applyFont="1" applyBorder="1"/>
    <xf numFmtId="44" fontId="17" fillId="17" borderId="165" xfId="0" applyNumberFormat="1" applyFont="1" applyFill="1" applyBorder="1"/>
    <xf numFmtId="44" fontId="23" fillId="17" borderId="76" xfId="0" applyNumberFormat="1" applyFont="1" applyFill="1" applyBorder="1"/>
    <xf numFmtId="44" fontId="23" fillId="17" borderId="157" xfId="0" applyNumberFormat="1" applyFont="1" applyFill="1" applyBorder="1"/>
    <xf numFmtId="0" fontId="23" fillId="17" borderId="139" xfId="0" applyFont="1" applyFill="1" applyBorder="1"/>
    <xf numFmtId="44" fontId="65" fillId="11" borderId="239" xfId="0" applyNumberFormat="1" applyFont="1" applyFill="1" applyBorder="1"/>
    <xf numFmtId="44" fontId="3" fillId="11" borderId="170" xfId="0" applyNumberFormat="1" applyFont="1" applyFill="1" applyBorder="1"/>
    <xf numFmtId="44" fontId="3" fillId="11" borderId="171" xfId="0" applyNumberFormat="1" applyFont="1" applyFill="1" applyBorder="1"/>
    <xf numFmtId="44" fontId="3" fillId="11" borderId="98" xfId="0" applyNumberFormat="1" applyFont="1" applyFill="1" applyBorder="1"/>
    <xf numFmtId="44" fontId="3" fillId="11" borderId="244" xfId="0" applyNumberFormat="1" applyFont="1" applyFill="1" applyBorder="1"/>
    <xf numFmtId="0" fontId="3" fillId="11" borderId="284" xfId="0" applyFont="1" applyFill="1" applyBorder="1"/>
    <xf numFmtId="44" fontId="65" fillId="23" borderId="239" xfId="2" applyFont="1" applyFill="1" applyBorder="1" applyAlignment="1">
      <alignment vertical="center"/>
    </xf>
    <xf numFmtId="44" fontId="3" fillId="23" borderId="258" xfId="2" applyFont="1" applyFill="1" applyBorder="1" applyAlignment="1">
      <alignment vertical="center"/>
    </xf>
    <xf numFmtId="44" fontId="3" fillId="23" borderId="180" xfId="2" applyFont="1" applyFill="1" applyBorder="1" applyAlignment="1">
      <alignment vertical="center"/>
    </xf>
    <xf numFmtId="44" fontId="3" fillId="23" borderId="111" xfId="2" applyFont="1" applyFill="1" applyBorder="1" applyAlignment="1">
      <alignment vertical="center"/>
    </xf>
    <xf numFmtId="44" fontId="3" fillId="23" borderId="245" xfId="2" applyFont="1" applyFill="1" applyBorder="1" applyAlignment="1">
      <alignment vertical="center"/>
    </xf>
    <xf numFmtId="0" fontId="3" fillId="23" borderId="219" xfId="0" applyFont="1" applyFill="1" applyBorder="1"/>
    <xf numFmtId="44" fontId="0" fillId="20" borderId="186" xfId="2" applyFont="1" applyFill="1" applyBorder="1" applyAlignment="1">
      <alignment vertical="center"/>
    </xf>
    <xf numFmtId="44" fontId="0" fillId="20" borderId="158" xfId="2" applyFont="1" applyFill="1" applyBorder="1" applyAlignment="1">
      <alignment vertical="center"/>
    </xf>
    <xf numFmtId="44" fontId="0" fillId="20" borderId="83" xfId="2" applyFont="1" applyFill="1" applyBorder="1" applyAlignment="1">
      <alignment vertical="center"/>
    </xf>
    <xf numFmtId="44" fontId="0" fillId="20" borderId="246" xfId="2" applyFont="1" applyFill="1" applyBorder="1" applyAlignment="1">
      <alignment vertical="center"/>
    </xf>
    <xf numFmtId="44" fontId="0" fillId="20" borderId="247" xfId="2" applyFont="1" applyFill="1" applyBorder="1" applyAlignment="1">
      <alignment vertical="center"/>
    </xf>
    <xf numFmtId="0" fontId="0" fillId="20" borderId="259" xfId="0" applyFill="1" applyBorder="1"/>
    <xf numFmtId="0" fontId="0" fillId="20" borderId="257" xfId="0" applyFill="1" applyBorder="1"/>
    <xf numFmtId="44" fontId="65" fillId="21" borderId="239" xfId="2" applyFont="1" applyFill="1" applyBorder="1"/>
    <xf numFmtId="44" fontId="3" fillId="21" borderId="158" xfId="2" applyFont="1" applyFill="1" applyBorder="1" applyAlignment="1">
      <alignment vertical="center"/>
    </xf>
    <xf numFmtId="44" fontId="3" fillId="21" borderId="83" xfId="2" applyFont="1" applyFill="1" applyBorder="1" applyAlignment="1">
      <alignment vertical="center"/>
    </xf>
    <xf numFmtId="44" fontId="3" fillId="21" borderId="246" xfId="2" applyFont="1" applyFill="1" applyBorder="1" applyAlignment="1">
      <alignment vertical="center"/>
    </xf>
    <xf numFmtId="44" fontId="3" fillId="21" borderId="247" xfId="2" applyFont="1" applyFill="1" applyBorder="1"/>
    <xf numFmtId="0" fontId="3" fillId="21" borderId="6" xfId="0" applyFont="1" applyFill="1" applyBorder="1"/>
    <xf numFmtId="44" fontId="0" fillId="28" borderId="186" xfId="2" applyFont="1" applyFill="1" applyBorder="1"/>
    <xf numFmtId="44" fontId="0" fillId="28" borderId="158" xfId="0" applyNumberFormat="1" applyFill="1" applyBorder="1"/>
    <xf numFmtId="44" fontId="0" fillId="28" borderId="83" xfId="0" applyNumberFormat="1" applyFill="1" applyBorder="1"/>
    <xf numFmtId="44" fontId="0" fillId="28" borderId="246" xfId="0" applyNumberFormat="1" applyFill="1" applyBorder="1"/>
    <xf numFmtId="44" fontId="0" fillId="28" borderId="247" xfId="2" applyFont="1" applyFill="1" applyBorder="1"/>
    <xf numFmtId="0" fontId="0" fillId="28" borderId="259" xfId="0" applyFill="1" applyBorder="1"/>
    <xf numFmtId="0" fontId="0" fillId="28" borderId="159" xfId="0" applyFill="1" applyBorder="1"/>
    <xf numFmtId="44" fontId="0" fillId="28" borderId="7" xfId="2" applyFont="1" applyFill="1" applyBorder="1"/>
    <xf numFmtId="44" fontId="0" fillId="28" borderId="243" xfId="0" applyNumberFormat="1" applyFill="1" applyBorder="1"/>
    <xf numFmtId="44" fontId="0" fillId="28" borderId="181" xfId="0" applyNumberFormat="1" applyFill="1" applyBorder="1"/>
    <xf numFmtId="44" fontId="0" fillId="28" borderId="113" xfId="0" applyNumberFormat="1" applyFill="1" applyBorder="1"/>
    <xf numFmtId="44" fontId="0" fillId="28" borderId="248" xfId="2" applyFont="1" applyFill="1" applyBorder="1"/>
    <xf numFmtId="0" fontId="0" fillId="28" borderId="257" xfId="0" applyFill="1" applyBorder="1"/>
    <xf numFmtId="0" fontId="0" fillId="0" borderId="6" xfId="0" applyBorder="1" applyAlignment="1">
      <alignment horizontal="center" vertical="center"/>
    </xf>
    <xf numFmtId="0" fontId="0" fillId="0" borderId="286" xfId="0" applyBorder="1" applyAlignment="1">
      <alignment horizontal="center"/>
    </xf>
    <xf numFmtId="0" fontId="71" fillId="0" borderId="91" xfId="0" applyFont="1" applyBorder="1" applyAlignment="1">
      <alignment vertical="center"/>
    </xf>
    <xf numFmtId="44" fontId="72" fillId="17" borderId="165" xfId="0" applyNumberFormat="1" applyFont="1" applyFill="1" applyBorder="1" applyAlignment="1">
      <alignment vertical="center" wrapText="1"/>
    </xf>
    <xf numFmtId="44" fontId="23" fillId="17" borderId="76" xfId="0" applyNumberFormat="1" applyFont="1" applyFill="1" applyBorder="1" applyAlignment="1">
      <alignment vertical="center" wrapText="1"/>
    </xf>
    <xf numFmtId="44" fontId="23" fillId="17" borderId="157" xfId="0" applyNumberFormat="1" applyFont="1" applyFill="1" applyBorder="1" applyAlignment="1">
      <alignment vertical="center" wrapText="1"/>
    </xf>
    <xf numFmtId="0" fontId="23" fillId="17" borderId="287" xfId="0" applyFont="1" applyFill="1" applyBorder="1" applyAlignment="1">
      <alignment vertical="center" wrapText="1"/>
    </xf>
    <xf numFmtId="44" fontId="65" fillId="11" borderId="239" xfId="0" applyNumberFormat="1" applyFont="1" applyFill="1" applyBorder="1" applyAlignment="1">
      <alignment vertical="center" wrapText="1"/>
    </xf>
    <xf numFmtId="44" fontId="3" fillId="11" borderId="170" xfId="0" applyNumberFormat="1" applyFont="1" applyFill="1" applyBorder="1" applyAlignment="1">
      <alignment vertical="center" wrapText="1"/>
    </xf>
    <xf numFmtId="44" fontId="3" fillId="11" borderId="171" xfId="0" applyNumberFormat="1" applyFont="1" applyFill="1" applyBorder="1" applyAlignment="1">
      <alignment vertical="center" wrapText="1"/>
    </xf>
    <xf numFmtId="0" fontId="3" fillId="23" borderId="288" xfId="0" applyFont="1" applyFill="1" applyBorder="1" applyAlignment="1">
      <alignment vertical="center" wrapText="1"/>
    </xf>
    <xf numFmtId="44" fontId="0" fillId="20" borderId="241" xfId="2" applyFont="1" applyFill="1" applyBorder="1" applyAlignment="1">
      <alignment vertical="center"/>
    </xf>
    <xf numFmtId="44" fontId="0" fillId="20" borderId="170" xfId="2" applyFont="1" applyFill="1" applyBorder="1" applyAlignment="1">
      <alignment vertical="center"/>
    </xf>
    <xf numFmtId="44" fontId="0" fillId="20" borderId="171" xfId="2" applyFont="1" applyFill="1" applyBorder="1" applyAlignment="1">
      <alignment vertical="center"/>
    </xf>
    <xf numFmtId="0" fontId="0" fillId="20" borderId="289" xfId="0" applyFill="1" applyBorder="1"/>
    <xf numFmtId="44" fontId="0" fillId="20" borderId="264" xfId="2" applyFont="1" applyFill="1" applyBorder="1" applyAlignment="1">
      <alignment vertical="center"/>
    </xf>
    <xf numFmtId="44" fontId="0" fillId="20" borderId="232" xfId="2" applyFont="1" applyFill="1" applyBorder="1" applyAlignment="1">
      <alignment vertical="center"/>
    </xf>
    <xf numFmtId="44" fontId="0" fillId="20" borderId="182" xfId="2" applyFont="1" applyFill="1" applyBorder="1" applyAlignment="1">
      <alignment vertical="center"/>
    </xf>
    <xf numFmtId="0" fontId="0" fillId="20" borderId="291" xfId="0" applyFill="1" applyBorder="1"/>
    <xf numFmtId="44" fontId="0" fillId="20" borderId="178" xfId="2" applyFont="1" applyFill="1" applyBorder="1" applyAlignment="1">
      <alignment vertical="center"/>
    </xf>
    <xf numFmtId="44" fontId="0" fillId="20" borderId="243" xfId="2" applyFont="1" applyFill="1" applyBorder="1" applyAlignment="1">
      <alignment vertical="center"/>
    </xf>
    <xf numFmtId="44" fontId="0" fillId="20" borderId="189" xfId="2" applyFont="1" applyFill="1" applyBorder="1" applyAlignment="1">
      <alignment vertical="center"/>
    </xf>
    <xf numFmtId="0" fontId="0" fillId="20" borderId="292" xfId="0" applyFill="1" applyBorder="1"/>
    <xf numFmtId="0" fontId="3" fillId="0" borderId="170" xfId="0" applyFont="1" applyBorder="1" applyAlignment="1">
      <alignment horizontal="center" vertical="center"/>
    </xf>
    <xf numFmtId="44" fontId="65" fillId="21" borderId="184" xfId="2" applyFont="1" applyFill="1" applyBorder="1" applyAlignment="1">
      <alignment vertical="center" wrapText="1"/>
    </xf>
    <xf numFmtId="44" fontId="3" fillId="21" borderId="293" xfId="2" applyFont="1" applyFill="1" applyBorder="1" applyAlignment="1">
      <alignment vertical="center" wrapText="1"/>
    </xf>
    <xf numFmtId="44" fontId="3" fillId="21" borderId="294" xfId="2" applyFont="1" applyFill="1" applyBorder="1" applyAlignment="1">
      <alignment vertical="center" wrapText="1"/>
    </xf>
    <xf numFmtId="44" fontId="3" fillId="21" borderId="295" xfId="2" applyFont="1" applyFill="1" applyBorder="1" applyAlignment="1">
      <alignment vertical="center" wrapText="1"/>
    </xf>
    <xf numFmtId="0" fontId="3" fillId="21" borderId="288" xfId="0" applyFont="1" applyFill="1" applyBorder="1" applyAlignment="1">
      <alignment vertical="center" wrapText="1"/>
    </xf>
    <xf numFmtId="44" fontId="0" fillId="28" borderId="264" xfId="2" applyFont="1" applyFill="1" applyBorder="1" applyAlignment="1">
      <alignment vertical="center" wrapText="1"/>
    </xf>
    <xf numFmtId="44" fontId="0" fillId="28" borderId="232" xfId="0" applyNumberFormat="1" applyFill="1" applyBorder="1" applyAlignment="1">
      <alignment vertical="center" wrapText="1"/>
    </xf>
    <xf numFmtId="44" fontId="0" fillId="28" borderId="182" xfId="0" applyNumberFormat="1" applyFill="1" applyBorder="1" applyAlignment="1">
      <alignment vertical="center" wrapText="1"/>
    </xf>
    <xf numFmtId="0" fontId="0" fillId="28" borderId="296" xfId="0" applyFill="1" applyBorder="1" applyAlignment="1">
      <alignment vertical="center" wrapText="1"/>
    </xf>
    <xf numFmtId="44" fontId="0" fillId="28" borderId="188" xfId="2" applyFont="1" applyFill="1" applyBorder="1" applyAlignment="1">
      <alignment vertical="center" wrapText="1"/>
    </xf>
    <xf numFmtId="44" fontId="0" fillId="28" borderId="243" xfId="0" applyNumberFormat="1" applyFill="1" applyBorder="1" applyAlignment="1">
      <alignment vertical="center" wrapText="1"/>
    </xf>
    <xf numFmtId="44" fontId="0" fillId="28" borderId="181" xfId="0" applyNumberFormat="1" applyFill="1" applyBorder="1" applyAlignment="1">
      <alignment vertical="center" wrapText="1"/>
    </xf>
    <xf numFmtId="0" fontId="0" fillId="28" borderId="297" xfId="0" applyFill="1" applyBorder="1" applyAlignment="1">
      <alignment vertical="center" wrapText="1"/>
    </xf>
    <xf numFmtId="44" fontId="0" fillId="28" borderId="258" xfId="0" applyNumberFormat="1" applyFill="1" applyBorder="1" applyAlignment="1">
      <alignment vertical="center" wrapText="1"/>
    </xf>
    <xf numFmtId="44" fontId="0" fillId="28" borderId="83" xfId="0" applyNumberFormat="1" applyFill="1" applyBorder="1" applyAlignment="1">
      <alignment vertical="center" wrapText="1"/>
    </xf>
    <xf numFmtId="0" fontId="0" fillId="28" borderId="291" xfId="0" applyFill="1" applyBorder="1" applyAlignment="1">
      <alignment vertical="center" wrapText="1"/>
    </xf>
    <xf numFmtId="44" fontId="0" fillId="28" borderId="193" xfId="2" applyFont="1" applyFill="1" applyBorder="1" applyAlignment="1">
      <alignment vertical="center" wrapText="1"/>
    </xf>
    <xf numFmtId="44" fontId="0" fillId="28" borderId="158" xfId="0" applyNumberFormat="1" applyFill="1" applyBorder="1" applyAlignment="1">
      <alignment vertical="center" wrapText="1"/>
    </xf>
    <xf numFmtId="0" fontId="0" fillId="28" borderId="298" xfId="0" applyFill="1" applyBorder="1" applyAlignment="1">
      <alignment vertical="center" wrapText="1"/>
    </xf>
    <xf numFmtId="44" fontId="0" fillId="28" borderId="178" xfId="2" applyFont="1" applyFill="1" applyBorder="1" applyAlignment="1">
      <alignment vertical="center" wrapText="1"/>
    </xf>
    <xf numFmtId="0" fontId="0" fillId="28" borderId="292" xfId="0" applyFill="1" applyBorder="1" applyAlignment="1">
      <alignment vertical="center" wrapText="1"/>
    </xf>
    <xf numFmtId="0" fontId="3" fillId="0" borderId="4" xfId="0" applyFont="1" applyBorder="1" applyAlignment="1">
      <alignment horizontal="center" vertical="center"/>
    </xf>
    <xf numFmtId="0" fontId="17" fillId="0" borderId="255" xfId="0" applyFont="1" applyBorder="1" applyAlignment="1">
      <alignment vertical="center" wrapText="1"/>
    </xf>
    <xf numFmtId="0" fontId="3" fillId="0" borderId="257" xfId="0" applyFont="1" applyBorder="1" applyAlignment="1">
      <alignment vertical="center" wrapText="1"/>
    </xf>
    <xf numFmtId="0" fontId="3" fillId="0" borderId="259" xfId="0" applyFont="1" applyBorder="1" applyAlignment="1">
      <alignment vertical="center" wrapText="1"/>
    </xf>
    <xf numFmtId="0" fontId="0" fillId="0" borderId="257" xfId="0" applyBorder="1" applyAlignment="1">
      <alignment vertical="center" wrapText="1"/>
    </xf>
    <xf numFmtId="44" fontId="0" fillId="0" borderId="260" xfId="2" applyFont="1" applyBorder="1" applyAlignment="1">
      <alignment vertical="center"/>
    </xf>
    <xf numFmtId="0" fontId="0" fillId="0" borderId="261" xfId="0" applyBorder="1" applyAlignment="1">
      <alignment vertical="center" wrapText="1"/>
    </xf>
    <xf numFmtId="44" fontId="65" fillId="11" borderId="80" xfId="0" applyNumberFormat="1" applyFont="1" applyFill="1" applyBorder="1" applyAlignment="1">
      <alignment vertical="center" wrapText="1"/>
    </xf>
    <xf numFmtId="44" fontId="3" fillId="11" borderId="81" xfId="0" applyNumberFormat="1" applyFont="1" applyFill="1" applyBorder="1" applyAlignment="1">
      <alignment vertical="center" wrapText="1"/>
    </xf>
    <xf numFmtId="44" fontId="3" fillId="11" borderId="195" xfId="0" applyNumberFormat="1" applyFont="1" applyFill="1" applyBorder="1" applyAlignment="1">
      <alignment vertical="center" wrapText="1"/>
    </xf>
    <xf numFmtId="0" fontId="3" fillId="11" borderId="262" xfId="0" applyFont="1" applyFill="1" applyBorder="1" applyAlignment="1">
      <alignment vertical="center" wrapText="1"/>
    </xf>
    <xf numFmtId="0" fontId="0" fillId="20" borderId="289" xfId="0" applyFill="1" applyBorder="1" applyAlignment="1">
      <alignment vertical="center" wrapText="1"/>
    </xf>
    <xf numFmtId="0" fontId="0" fillId="20" borderId="291" xfId="0" applyFill="1" applyBorder="1" applyAlignment="1">
      <alignment vertical="center" wrapText="1"/>
    </xf>
    <xf numFmtId="0" fontId="0" fillId="20" borderId="292" xfId="0" applyFill="1" applyBorder="1" applyAlignment="1">
      <alignment vertical="center" wrapText="1"/>
    </xf>
    <xf numFmtId="44" fontId="3" fillId="21" borderId="293" xfId="2" applyFont="1" applyFill="1" applyBorder="1" applyAlignment="1">
      <alignment vertical="center"/>
    </xf>
    <xf numFmtId="44" fontId="3" fillId="21" borderId="294" xfId="2" applyFont="1" applyFill="1" applyBorder="1" applyAlignment="1">
      <alignment vertical="center"/>
    </xf>
    <xf numFmtId="10" fontId="25" fillId="0" borderId="97" xfId="3" applyNumberFormat="1" applyFont="1" applyBorder="1" applyAlignment="1">
      <alignment horizontal="center" vertical="center"/>
    </xf>
    <xf numFmtId="0" fontId="25" fillId="0" borderId="98" xfId="0" applyFont="1" applyBorder="1" applyAlignment="1">
      <alignment vertical="center" wrapText="1"/>
    </xf>
    <xf numFmtId="9" fontId="3" fillId="0" borderId="221" xfId="3" applyFont="1" applyBorder="1"/>
    <xf numFmtId="9" fontId="65" fillId="0" borderId="177" xfId="3" applyFont="1" applyBorder="1" applyAlignment="1">
      <alignment horizontal="center"/>
    </xf>
    <xf numFmtId="44" fontId="65" fillId="0" borderId="168" xfId="0" applyNumberFormat="1" applyFont="1" applyBorder="1"/>
    <xf numFmtId="0" fontId="0" fillId="0" borderId="299" xfId="0" applyBorder="1"/>
    <xf numFmtId="9" fontId="0" fillId="0" borderId="110" xfId="3" applyFont="1" applyBorder="1"/>
    <xf numFmtId="9" fontId="0" fillId="0" borderId="253" xfId="3" applyFont="1" applyBorder="1" applyAlignment="1">
      <alignment horizontal="center"/>
    </xf>
    <xf numFmtId="44" fontId="0" fillId="0" borderId="111" xfId="0" applyNumberFormat="1" applyBorder="1"/>
    <xf numFmtId="0" fontId="3" fillId="0" borderId="174" xfId="0" applyFont="1" applyBorder="1" applyAlignment="1">
      <alignment vertical="center" wrapText="1"/>
    </xf>
    <xf numFmtId="9" fontId="0" fillId="0" borderId="112" xfId="3" applyFont="1" applyBorder="1"/>
    <xf numFmtId="9" fontId="0" fillId="0" borderId="109" xfId="3" applyFont="1" applyBorder="1" applyAlignment="1">
      <alignment horizontal="center" vertical="center"/>
    </xf>
    <xf numFmtId="44" fontId="0" fillId="0" borderId="113" xfId="0" applyNumberFormat="1" applyBorder="1" applyAlignment="1">
      <alignment vertical="center"/>
    </xf>
    <xf numFmtId="0" fontId="3" fillId="0" borderId="172" xfId="0" applyFont="1" applyBorder="1" applyAlignment="1">
      <alignment vertical="center" wrapText="1"/>
    </xf>
    <xf numFmtId="0" fontId="3" fillId="0" borderId="176" xfId="0" applyFont="1" applyBorder="1" applyAlignment="1">
      <alignment horizontal="center" vertical="center" wrapText="1"/>
    </xf>
    <xf numFmtId="0" fontId="3" fillId="0" borderId="174" xfId="0" applyFont="1" applyBorder="1" applyAlignment="1">
      <alignment horizontal="center" vertical="center"/>
    </xf>
    <xf numFmtId="0" fontId="3" fillId="0" borderId="97" xfId="0" applyFont="1" applyBorder="1" applyAlignment="1">
      <alignment horizontal="center" vertical="center"/>
    </xf>
    <xf numFmtId="9" fontId="3" fillId="0" borderId="177" xfId="3" applyFont="1" applyBorder="1" applyAlignment="1">
      <alignment horizontal="center" vertical="center"/>
    </xf>
    <xf numFmtId="44" fontId="0" fillId="0" borderId="168" xfId="2" applyFont="1" applyBorder="1" applyAlignment="1">
      <alignment vertical="center"/>
    </xf>
    <xf numFmtId="44" fontId="0" fillId="0" borderId="164" xfId="2" applyFont="1" applyBorder="1" applyAlignment="1">
      <alignment vertical="center"/>
    </xf>
    <xf numFmtId="9" fontId="0" fillId="0" borderId="253" xfId="3" applyFont="1" applyBorder="1" applyAlignment="1">
      <alignment horizontal="center" vertical="center"/>
    </xf>
    <xf numFmtId="44" fontId="0" fillId="0" borderId="251" xfId="2" applyFont="1" applyBorder="1" applyAlignment="1">
      <alignment vertical="center"/>
    </xf>
    <xf numFmtId="0" fontId="0" fillId="0" borderId="253" xfId="0" applyBorder="1" applyAlignment="1">
      <alignment vertical="center" wrapText="1"/>
    </xf>
    <xf numFmtId="9" fontId="1" fillId="0" borderId="112" xfId="3" applyFont="1" applyBorder="1" applyAlignment="1">
      <alignment vertical="center"/>
    </xf>
    <xf numFmtId="9" fontId="3" fillId="0" borderId="97" xfId="3" applyFont="1" applyBorder="1" applyAlignment="1">
      <alignment horizontal="center" vertical="center"/>
    </xf>
    <xf numFmtId="9" fontId="0" fillId="0" borderId="0" xfId="0" applyNumberFormat="1" applyAlignment="1">
      <alignment horizontal="center" vertical="center"/>
    </xf>
    <xf numFmtId="9" fontId="0" fillId="0" borderId="0" xfId="3" applyFont="1" applyAlignment="1">
      <alignment horizontal="center" vertical="center"/>
    </xf>
    <xf numFmtId="9" fontId="0" fillId="0" borderId="97" xfId="3" applyFont="1" applyBorder="1" applyAlignment="1">
      <alignment horizontal="center" vertical="center"/>
    </xf>
    <xf numFmtId="9" fontId="0" fillId="0" borderId="0" xfId="3" applyFont="1" applyFill="1" applyBorder="1" applyAlignment="1">
      <alignment horizontal="center" vertical="center"/>
    </xf>
    <xf numFmtId="9" fontId="0" fillId="0" borderId="222" xfId="3" applyFont="1" applyBorder="1" applyAlignment="1">
      <alignment horizontal="center" vertical="center"/>
    </xf>
    <xf numFmtId="0" fontId="3" fillId="0" borderId="98" xfId="0" applyFont="1" applyBorder="1" applyAlignment="1">
      <alignment horizontal="center" vertical="center"/>
    </xf>
    <xf numFmtId="170" fontId="65" fillId="17" borderId="80" xfId="3" applyNumberFormat="1" applyFont="1" applyFill="1" applyBorder="1" applyAlignment="1">
      <alignment vertical="center" wrapText="1"/>
    </xf>
    <xf numFmtId="170" fontId="3" fillId="17" borderId="81" xfId="3" applyNumberFormat="1" applyFont="1" applyFill="1" applyBorder="1" applyAlignment="1">
      <alignment vertical="center" wrapText="1"/>
    </xf>
    <xf numFmtId="170" fontId="3" fillId="17" borderId="195" xfId="3" applyNumberFormat="1" applyFont="1" applyFill="1" applyBorder="1" applyAlignment="1">
      <alignment vertical="center" wrapText="1"/>
    </xf>
    <xf numFmtId="170" fontId="3" fillId="17" borderId="262" xfId="3" applyNumberFormat="1" applyFont="1" applyFill="1" applyBorder="1" applyAlignment="1">
      <alignment vertical="center" wrapText="1"/>
    </xf>
    <xf numFmtId="44" fontId="65" fillId="23" borderId="239" xfId="2" applyFont="1" applyFill="1" applyBorder="1" applyAlignment="1">
      <alignment vertical="center" wrapText="1"/>
    </xf>
    <xf numFmtId="44" fontId="3" fillId="23" borderId="179" xfId="2" applyFont="1" applyFill="1" applyBorder="1" applyAlignment="1">
      <alignment vertical="center" wrapText="1"/>
    </xf>
    <xf numFmtId="44" fontId="3" fillId="23" borderId="154" xfId="2" applyFont="1" applyFill="1" applyBorder="1" applyAlignment="1">
      <alignment vertical="center" wrapText="1"/>
    </xf>
    <xf numFmtId="44" fontId="3" fillId="23" borderId="300" xfId="2" applyFont="1" applyFill="1" applyBorder="1" applyAlignment="1">
      <alignment vertical="center" wrapText="1"/>
    </xf>
    <xf numFmtId="44" fontId="0" fillId="20" borderId="241" xfId="2" applyFont="1" applyFill="1" applyBorder="1" applyAlignment="1">
      <alignment vertical="center" wrapText="1"/>
    </xf>
    <xf numFmtId="44" fontId="0" fillId="20" borderId="170" xfId="2" applyFont="1" applyFill="1" applyBorder="1" applyAlignment="1">
      <alignment vertical="center" wrapText="1"/>
    </xf>
    <xf numFmtId="44" fontId="0" fillId="20" borderId="171" xfId="2" applyFont="1" applyFill="1" applyBorder="1" applyAlignment="1">
      <alignment vertical="center" wrapText="1"/>
    </xf>
    <xf numFmtId="44" fontId="0" fillId="20" borderId="98" xfId="2" applyFont="1" applyFill="1" applyBorder="1" applyAlignment="1">
      <alignment vertical="center" wrapText="1"/>
    </xf>
    <xf numFmtId="44" fontId="0" fillId="20" borderId="264" xfId="2" applyFont="1" applyFill="1" applyBorder="1" applyAlignment="1">
      <alignment vertical="center" wrapText="1"/>
    </xf>
    <xf numFmtId="44" fontId="0" fillId="20" borderId="232" xfId="2" applyFont="1" applyFill="1" applyBorder="1" applyAlignment="1">
      <alignment vertical="center" wrapText="1"/>
    </xf>
    <xf numFmtId="44" fontId="0" fillId="20" borderId="182" xfId="2" applyFont="1" applyFill="1" applyBorder="1" applyAlignment="1">
      <alignment vertical="center" wrapText="1"/>
    </xf>
    <xf numFmtId="44" fontId="0" fillId="20" borderId="290" xfId="2" applyFont="1" applyFill="1" applyBorder="1" applyAlignment="1">
      <alignment vertical="center" wrapText="1"/>
    </xf>
    <xf numFmtId="44" fontId="0" fillId="20" borderId="178" xfId="2" applyFont="1" applyFill="1" applyBorder="1" applyAlignment="1">
      <alignment vertical="center" wrapText="1"/>
    </xf>
    <xf numFmtId="44" fontId="0" fillId="20" borderId="155" xfId="2" applyFont="1" applyFill="1" applyBorder="1" applyAlignment="1">
      <alignment vertical="center" wrapText="1"/>
    </xf>
    <xf numFmtId="44" fontId="0" fillId="20" borderId="301" xfId="2" applyFont="1" applyFill="1" applyBorder="1" applyAlignment="1">
      <alignment vertical="center" wrapText="1"/>
    </xf>
    <xf numFmtId="44" fontId="0" fillId="20" borderId="302" xfId="2" applyFont="1" applyFill="1" applyBorder="1" applyAlignment="1">
      <alignment vertical="center" wrapText="1"/>
    </xf>
    <xf numFmtId="0" fontId="0" fillId="28" borderId="184" xfId="0" applyFill="1" applyBorder="1" applyAlignment="1">
      <alignment vertical="center" wrapText="1"/>
    </xf>
    <xf numFmtId="0" fontId="3" fillId="21" borderId="289" xfId="0" applyFont="1" applyFill="1" applyBorder="1" applyAlignment="1">
      <alignment vertical="center" wrapText="1"/>
    </xf>
    <xf numFmtId="0" fontId="0" fillId="0" borderId="186" xfId="0" applyBorder="1" applyAlignment="1">
      <alignment vertical="center" wrapText="1"/>
    </xf>
    <xf numFmtId="0" fontId="0" fillId="0" borderId="75" xfId="0" applyBorder="1" applyAlignment="1">
      <alignment vertical="center" wrapText="1"/>
    </xf>
    <xf numFmtId="0" fontId="3" fillId="0" borderId="285" xfId="0" applyFont="1" applyBorder="1" applyAlignment="1">
      <alignment horizontal="center" vertical="center" wrapText="1"/>
    </xf>
    <xf numFmtId="0" fontId="3" fillId="0" borderId="260" xfId="0" applyFont="1" applyBorder="1" applyAlignment="1">
      <alignment horizontal="center" vertical="center" wrapText="1"/>
    </xf>
    <xf numFmtId="0" fontId="3" fillId="0" borderId="266" xfId="0" applyFont="1" applyBorder="1" applyAlignment="1">
      <alignment horizontal="center" vertical="center" wrapText="1"/>
    </xf>
    <xf numFmtId="0" fontId="3" fillId="0" borderId="169" xfId="0" applyFont="1" applyBorder="1" applyAlignment="1">
      <alignment horizontal="center" vertical="center" wrapText="1"/>
    </xf>
    <xf numFmtId="0" fontId="73" fillId="0" borderId="0" xfId="0" applyFont="1" applyAlignment="1">
      <alignment vertical="center" wrapText="1"/>
    </xf>
    <xf numFmtId="0" fontId="73" fillId="0" borderId="0" xfId="0" applyFont="1"/>
    <xf numFmtId="0" fontId="25" fillId="0" borderId="85" xfId="0" applyFont="1" applyBorder="1"/>
    <xf numFmtId="0" fontId="3" fillId="0" borderId="91" xfId="0" applyFont="1" applyBorder="1" applyAlignment="1">
      <alignment vertical="center"/>
    </xf>
    <xf numFmtId="0" fontId="3" fillId="0" borderId="82" xfId="0" applyFont="1" applyBorder="1" applyAlignment="1">
      <alignment vertical="center"/>
    </xf>
    <xf numFmtId="0" fontId="0" fillId="0" borderId="105" xfId="0" applyBorder="1"/>
    <xf numFmtId="164" fontId="0" fillId="0" borderId="105" xfId="0" applyNumberFormat="1" applyBorder="1"/>
    <xf numFmtId="166" fontId="0" fillId="0" borderId="105" xfId="7" applyNumberFormat="1" applyFont="1" applyBorder="1"/>
    <xf numFmtId="0" fontId="0" fillId="0" borderId="101" xfId="0" applyBorder="1"/>
    <xf numFmtId="10" fontId="0" fillId="0" borderId="101" xfId="0" applyNumberFormat="1" applyBorder="1"/>
    <xf numFmtId="0" fontId="3" fillId="0" borderId="84" xfId="0" applyFont="1" applyBorder="1" applyAlignment="1">
      <alignment vertical="center" wrapText="1"/>
    </xf>
    <xf numFmtId="164" fontId="3" fillId="0" borderId="82" xfId="0" applyNumberFormat="1" applyFont="1" applyBorder="1" applyAlignment="1">
      <alignment vertical="center"/>
    </xf>
    <xf numFmtId="0" fontId="3" fillId="0" borderId="183" xfId="0" applyFont="1" applyBorder="1" applyAlignment="1">
      <alignment vertical="center"/>
    </xf>
    <xf numFmtId="164" fontId="65" fillId="0" borderId="91" xfId="0" applyNumberFormat="1" applyFont="1" applyBorder="1" applyAlignment="1">
      <alignment vertical="center"/>
    </xf>
    <xf numFmtId="166" fontId="0" fillId="0" borderId="91" xfId="7" applyNumberFormat="1" applyFont="1" applyBorder="1" applyAlignment="1">
      <alignment horizontal="right" vertical="center"/>
    </xf>
    <xf numFmtId="0" fontId="3" fillId="0" borderId="91" xfId="0" applyFont="1" applyBorder="1"/>
    <xf numFmtId="0" fontId="3" fillId="0" borderId="204" xfId="0" applyFont="1" applyBorder="1"/>
    <xf numFmtId="10" fontId="3" fillId="0" borderId="91" xfId="3" applyNumberFormat="1" applyFont="1" applyBorder="1"/>
    <xf numFmtId="0" fontId="17" fillId="0" borderId="91" xfId="0" applyFont="1" applyBorder="1" applyAlignment="1">
      <alignment wrapText="1"/>
    </xf>
    <xf numFmtId="164" fontId="65" fillId="8" borderId="91" xfId="0" applyNumberFormat="1" applyFont="1" applyFill="1" applyBorder="1" applyAlignment="1">
      <alignment vertical="center"/>
    </xf>
    <xf numFmtId="0" fontId="3" fillId="0" borderId="97" xfId="0" applyFont="1" applyBorder="1" applyAlignment="1">
      <alignment vertical="center"/>
    </xf>
    <xf numFmtId="0" fontId="23" fillId="0" borderId="98" xfId="0" applyFont="1" applyBorder="1"/>
    <xf numFmtId="164" fontId="0" fillId="0" borderId="164" xfId="0" applyNumberFormat="1" applyBorder="1"/>
    <xf numFmtId="164" fontId="0" fillId="0" borderId="162" xfId="0" applyNumberFormat="1" applyBorder="1"/>
    <xf numFmtId="0" fontId="0" fillId="17" borderId="5" xfId="0" applyFill="1" applyBorder="1" applyAlignment="1">
      <alignment horizontal="center"/>
    </xf>
    <xf numFmtId="3" fontId="38" fillId="3" borderId="111" xfId="7" applyNumberFormat="1" applyFont="1" applyFill="1" applyBorder="1" applyAlignment="1" applyProtection="1">
      <alignment horizontal="center" vertical="center"/>
    </xf>
    <xf numFmtId="44" fontId="0" fillId="28" borderId="181" xfId="0" applyNumberFormat="1" applyFill="1" applyBorder="1" applyAlignment="1">
      <alignment vertical="center"/>
    </xf>
    <xf numFmtId="44" fontId="0" fillId="28" borderId="243" xfId="0" applyNumberFormat="1" applyFill="1" applyBorder="1" applyAlignment="1">
      <alignment vertical="center"/>
    </xf>
    <xf numFmtId="44" fontId="0" fillId="28" borderId="178" xfId="2" applyFont="1" applyFill="1" applyBorder="1" applyAlignment="1">
      <alignment vertical="center"/>
    </xf>
    <xf numFmtId="44" fontId="0" fillId="28" borderId="83" xfId="0" applyNumberFormat="1" applyFill="1" applyBorder="1" applyAlignment="1">
      <alignment vertical="center"/>
    </xf>
    <xf numFmtId="44" fontId="0" fillId="28" borderId="158" xfId="0" applyNumberFormat="1" applyFill="1" applyBorder="1" applyAlignment="1">
      <alignment vertical="center"/>
    </xf>
    <xf numFmtId="44" fontId="0" fillId="28" borderId="193" xfId="2" applyFont="1" applyFill="1" applyBorder="1" applyAlignment="1">
      <alignment vertical="center"/>
    </xf>
    <xf numFmtId="44" fontId="0" fillId="28" borderId="258" xfId="0" applyNumberFormat="1" applyFill="1" applyBorder="1" applyAlignment="1">
      <alignment vertical="center"/>
    </xf>
    <xf numFmtId="44" fontId="0" fillId="28" borderId="264" xfId="2" applyFont="1" applyFill="1" applyBorder="1" applyAlignment="1">
      <alignment vertical="center"/>
    </xf>
    <xf numFmtId="44" fontId="0" fillId="28" borderId="188" xfId="2" applyFont="1" applyFill="1" applyBorder="1" applyAlignment="1">
      <alignment vertical="center"/>
    </xf>
    <xf numFmtId="44" fontId="0" fillId="28" borderId="182" xfId="0" applyNumberFormat="1" applyFill="1" applyBorder="1" applyAlignment="1">
      <alignment vertical="center"/>
    </xf>
    <xf numFmtId="44" fontId="0" fillId="28" borderId="232" xfId="0" applyNumberFormat="1" applyFill="1" applyBorder="1" applyAlignment="1">
      <alignment vertical="center"/>
    </xf>
    <xf numFmtId="44" fontId="65" fillId="21" borderId="184" xfId="2" applyFont="1" applyFill="1" applyBorder="1" applyAlignment="1">
      <alignment vertical="center"/>
    </xf>
    <xf numFmtId="0" fontId="0" fillId="0" borderId="157" xfId="0" applyBorder="1" applyAlignment="1">
      <alignment vertical="center"/>
    </xf>
    <xf numFmtId="0" fontId="66" fillId="0" borderId="91" xfId="0" applyFont="1" applyBorder="1" applyAlignment="1">
      <alignment vertical="center"/>
    </xf>
    <xf numFmtId="0" fontId="0" fillId="0" borderId="101" xfId="0" applyBorder="1" applyAlignment="1">
      <alignment vertical="center" wrapText="1"/>
    </xf>
    <xf numFmtId="8" fontId="0" fillId="0" borderId="256" xfId="0" applyNumberFormat="1" applyBorder="1" applyAlignment="1">
      <alignment vertical="center"/>
    </xf>
    <xf numFmtId="8" fontId="3" fillId="0" borderId="258" xfId="0" applyNumberFormat="1" applyFont="1" applyBorder="1" applyAlignment="1">
      <alignment vertical="center"/>
    </xf>
    <xf numFmtId="170" fontId="3" fillId="0" borderId="256" xfId="0" applyNumberFormat="1" applyFont="1" applyBorder="1" applyAlignment="1">
      <alignment vertical="center"/>
    </xf>
    <xf numFmtId="170" fontId="17" fillId="0" borderId="179" xfId="0" applyNumberFormat="1" applyFont="1" applyBorder="1" applyAlignment="1">
      <alignment vertical="center"/>
    </xf>
    <xf numFmtId="0" fontId="0" fillId="0" borderId="196" xfId="0" applyBorder="1" applyAlignment="1">
      <alignment vertical="center"/>
    </xf>
    <xf numFmtId="2" fontId="0" fillId="0" borderId="81" xfId="0" applyNumberFormat="1" applyBorder="1" applyAlignment="1">
      <alignment vertical="center"/>
    </xf>
    <xf numFmtId="0" fontId="74" fillId="3" borderId="22" xfId="7" applyNumberFormat="1" applyFont="1" applyFill="1" applyBorder="1" applyAlignment="1" applyProtection="1">
      <alignment horizontal="center" vertical="center"/>
    </xf>
    <xf numFmtId="49" fontId="74" fillId="3" borderId="22" xfId="7" applyNumberFormat="1" applyFont="1" applyFill="1" applyBorder="1" applyAlignment="1" applyProtection="1">
      <alignment horizontal="center" vertical="center"/>
    </xf>
    <xf numFmtId="49" fontId="74" fillId="3" borderId="25" xfId="7" applyNumberFormat="1" applyFont="1" applyFill="1" applyBorder="1" applyAlignment="1" applyProtection="1">
      <alignment horizontal="center" vertical="center"/>
    </xf>
    <xf numFmtId="0" fontId="74" fillId="3" borderId="22" xfId="7" applyNumberFormat="1" applyFont="1" applyFill="1" applyBorder="1" applyAlignment="1">
      <alignment horizontal="center" vertical="center"/>
    </xf>
    <xf numFmtId="49" fontId="74" fillId="3" borderId="22" xfId="7" applyNumberFormat="1" applyFont="1" applyFill="1" applyBorder="1" applyAlignment="1">
      <alignment horizontal="center" vertical="center"/>
    </xf>
    <xf numFmtId="49" fontId="74" fillId="3" borderId="25" xfId="7" applyNumberFormat="1" applyFont="1" applyFill="1" applyBorder="1" applyAlignment="1">
      <alignment horizontal="center" vertical="center"/>
    </xf>
    <xf numFmtId="0" fontId="74" fillId="3" borderId="22" xfId="4" applyFont="1" applyFill="1" applyBorder="1" applyAlignment="1" applyProtection="1">
      <alignment horizontal="center" vertical="center"/>
      <protection locked="0"/>
    </xf>
    <xf numFmtId="9" fontId="74" fillId="3" borderId="22" xfId="3" applyFont="1" applyFill="1" applyBorder="1" applyAlignment="1">
      <alignment horizontal="center" vertical="center"/>
    </xf>
    <xf numFmtId="0" fontId="74" fillId="3" borderId="22" xfId="4" applyFont="1" applyFill="1" applyBorder="1" applyAlignment="1">
      <alignment horizontal="center" vertical="center"/>
    </xf>
    <xf numFmtId="9" fontId="75" fillId="3" borderId="22" xfId="3" applyFont="1" applyFill="1" applyBorder="1" applyAlignment="1">
      <alignment horizontal="center" vertical="center"/>
    </xf>
    <xf numFmtId="10" fontId="74" fillId="3" borderId="16" xfId="3" applyNumberFormat="1" applyFont="1" applyFill="1" applyBorder="1" applyAlignment="1">
      <alignment horizontal="center" vertical="center"/>
    </xf>
    <xf numFmtId="43" fontId="74" fillId="3" borderId="22" xfId="1" applyFont="1" applyFill="1" applyBorder="1" applyAlignment="1" applyProtection="1">
      <alignment horizontal="center" vertical="center"/>
    </xf>
    <xf numFmtId="43" fontId="74" fillId="3" borderId="25" xfId="1" applyFont="1" applyFill="1" applyBorder="1" applyAlignment="1" applyProtection="1">
      <alignment horizontal="center" vertical="center"/>
    </xf>
    <xf numFmtId="10" fontId="74" fillId="3" borderId="22" xfId="3" applyNumberFormat="1" applyFont="1" applyFill="1" applyBorder="1" applyAlignment="1">
      <alignment horizontal="center" vertical="center"/>
    </xf>
    <xf numFmtId="44" fontId="74" fillId="3" borderId="22" xfId="3" applyNumberFormat="1" applyFont="1" applyFill="1" applyBorder="1" applyAlignment="1">
      <alignment horizontal="center" vertical="center"/>
    </xf>
    <xf numFmtId="3" fontId="74" fillId="3" borderId="22" xfId="7" applyNumberFormat="1" applyFont="1" applyFill="1" applyBorder="1" applyAlignment="1" applyProtection="1">
      <alignment horizontal="center" vertical="center"/>
      <protection locked="0"/>
    </xf>
    <xf numFmtId="3" fontId="74" fillId="3" borderId="22" xfId="7" applyNumberFormat="1" applyFont="1" applyFill="1" applyBorder="1" applyAlignment="1" applyProtection="1">
      <alignment horizontal="center" vertical="center"/>
    </xf>
    <xf numFmtId="10" fontId="74" fillId="3" borderId="25" xfId="4" applyNumberFormat="1" applyFont="1" applyFill="1" applyBorder="1" applyAlignment="1" applyProtection="1">
      <alignment horizontal="center" vertical="center"/>
      <protection locked="0"/>
    </xf>
    <xf numFmtId="44" fontId="17" fillId="0" borderId="75" xfId="0" applyNumberFormat="1" applyFont="1" applyBorder="1" applyAlignment="1">
      <alignment vertical="center"/>
    </xf>
    <xf numFmtId="44" fontId="27" fillId="3" borderId="75" xfId="0" applyNumberFormat="1" applyFont="1" applyFill="1" applyBorder="1" applyAlignment="1">
      <alignment vertical="center"/>
    </xf>
    <xf numFmtId="44" fontId="27" fillId="3" borderId="76" xfId="0" applyNumberFormat="1" applyFont="1" applyFill="1" applyBorder="1" applyAlignment="1">
      <alignment vertical="center"/>
    </xf>
    <xf numFmtId="2" fontId="3" fillId="0" borderId="0" xfId="0" applyNumberFormat="1" applyFont="1"/>
    <xf numFmtId="168" fontId="3" fillId="0" borderId="0" xfId="0" applyNumberFormat="1" applyFont="1"/>
    <xf numFmtId="44" fontId="0" fillId="0" borderId="0" xfId="2" applyFont="1" applyFill="1" applyBorder="1" applyAlignment="1">
      <alignment vertical="center"/>
    </xf>
    <xf numFmtId="44" fontId="3" fillId="0" borderId="0" xfId="2" applyFont="1" applyFill="1" applyBorder="1" applyAlignment="1">
      <alignment vertical="center"/>
    </xf>
    <xf numFmtId="44" fontId="17" fillId="22" borderId="75" xfId="0" applyNumberFormat="1" applyFont="1" applyFill="1" applyBorder="1"/>
    <xf numFmtId="44" fontId="0" fillId="28" borderId="75" xfId="0" applyNumberFormat="1" applyFill="1" applyBorder="1"/>
    <xf numFmtId="44" fontId="0" fillId="28" borderId="75" xfId="0" applyNumberFormat="1" applyFill="1" applyBorder="1" applyAlignment="1">
      <alignment vertical="center"/>
    </xf>
    <xf numFmtId="44" fontId="17" fillId="22" borderId="75" xfId="0" applyNumberFormat="1" applyFont="1" applyFill="1" applyBorder="1" applyAlignment="1">
      <alignment vertical="center"/>
    </xf>
    <xf numFmtId="44" fontId="3" fillId="21" borderId="75" xfId="0" applyNumberFormat="1" applyFont="1" applyFill="1" applyBorder="1"/>
    <xf numFmtId="44" fontId="0" fillId="0" borderId="75" xfId="0" applyNumberFormat="1" applyBorder="1" applyAlignment="1">
      <alignment horizontal="center"/>
    </xf>
    <xf numFmtId="44" fontId="3" fillId="24" borderId="75" xfId="0" applyNumberFormat="1" applyFont="1" applyFill="1" applyBorder="1"/>
    <xf numFmtId="44" fontId="0" fillId="20" borderId="75" xfId="0" applyNumberFormat="1" applyFill="1" applyBorder="1"/>
    <xf numFmtId="44" fontId="0" fillId="20" borderId="75" xfId="0" applyNumberFormat="1" applyFill="1" applyBorder="1" applyAlignment="1">
      <alignment vertical="center"/>
    </xf>
    <xf numFmtId="44" fontId="15" fillId="0" borderId="75" xfId="0" applyNumberFormat="1" applyFont="1" applyBorder="1"/>
    <xf numFmtId="44" fontId="3" fillId="23" borderId="75" xfId="0" applyNumberFormat="1" applyFont="1" applyFill="1" applyBorder="1"/>
    <xf numFmtId="44" fontId="3" fillId="18" borderId="81" xfId="0" applyNumberFormat="1" applyFont="1" applyFill="1" applyBorder="1" applyAlignment="1">
      <alignment vertical="center"/>
    </xf>
    <xf numFmtId="44" fontId="0" fillId="31" borderId="75" xfId="0" applyNumberFormat="1" applyFill="1" applyBorder="1"/>
    <xf numFmtId="44" fontId="3" fillId="30" borderId="75" xfId="0" applyNumberFormat="1" applyFont="1" applyFill="1" applyBorder="1" applyAlignment="1">
      <alignment vertical="center"/>
    </xf>
    <xf numFmtId="44" fontId="0" fillId="8" borderId="75" xfId="0" applyNumberFormat="1" applyFill="1" applyBorder="1" applyAlignment="1">
      <alignment vertical="center" wrapText="1"/>
    </xf>
    <xf numFmtId="44" fontId="0" fillId="0" borderId="173" xfId="0" applyNumberFormat="1" applyBorder="1" applyAlignment="1">
      <alignment vertical="center"/>
    </xf>
    <xf numFmtId="44" fontId="0" fillId="0" borderId="97" xfId="0" applyNumberFormat="1" applyBorder="1" applyAlignment="1">
      <alignment vertical="center"/>
    </xf>
    <xf numFmtId="0" fontId="12" fillId="0" borderId="223" xfId="4" applyFont="1" applyBorder="1" applyAlignment="1">
      <alignment vertical="center"/>
    </xf>
    <xf numFmtId="3" fontId="38" fillId="0" borderId="223" xfId="7" applyNumberFormat="1" applyFont="1" applyFill="1" applyBorder="1" applyAlignment="1" applyProtection="1">
      <alignment horizontal="center" vertical="center"/>
    </xf>
    <xf numFmtId="0" fontId="12" fillId="11" borderId="181" xfId="4" applyFont="1" applyFill="1" applyBorder="1" applyAlignment="1">
      <alignment vertical="center"/>
    </xf>
    <xf numFmtId="3" fontId="34" fillId="3" borderId="111" xfId="7" applyNumberFormat="1" applyFont="1" applyFill="1" applyBorder="1" applyAlignment="1" applyProtection="1">
      <alignment horizontal="center" vertical="center"/>
    </xf>
    <xf numFmtId="44" fontId="17" fillId="8" borderId="0" xfId="0" applyNumberFormat="1" applyFont="1" applyFill="1"/>
    <xf numFmtId="0" fontId="17" fillId="8" borderId="0" xfId="0" applyFont="1" applyFill="1"/>
    <xf numFmtId="44" fontId="0" fillId="22" borderId="75" xfId="2" applyFont="1" applyFill="1" applyBorder="1" applyAlignment="1">
      <alignment vertical="center"/>
    </xf>
    <xf numFmtId="44" fontId="0" fillId="28" borderId="75" xfId="2" applyFont="1" applyFill="1" applyBorder="1" applyAlignment="1">
      <alignment vertical="center"/>
    </xf>
    <xf numFmtId="44" fontId="0" fillId="32" borderId="166" xfId="0" applyNumberFormat="1" applyFill="1" applyBorder="1" applyAlignment="1">
      <alignment vertical="center" wrapText="1"/>
    </xf>
    <xf numFmtId="44" fontId="0" fillId="33" borderId="75" xfId="0" applyNumberFormat="1" applyFill="1" applyBorder="1" applyAlignment="1">
      <alignment vertical="center" wrapText="1"/>
    </xf>
    <xf numFmtId="44" fontId="0" fillId="32" borderId="170" xfId="0" applyNumberFormat="1" applyFill="1" applyBorder="1" applyAlignment="1">
      <alignment vertical="center" wrapText="1"/>
    </xf>
    <xf numFmtId="44" fontId="0" fillId="23" borderId="170" xfId="0" applyNumberFormat="1" applyFill="1" applyBorder="1" applyAlignment="1">
      <alignment vertical="center" wrapText="1"/>
    </xf>
    <xf numFmtId="44" fontId="0" fillId="24" borderId="75" xfId="0" applyNumberFormat="1" applyFill="1" applyBorder="1" applyAlignment="1">
      <alignment vertical="center" wrapText="1"/>
    </xf>
    <xf numFmtId="44" fontId="0" fillId="24" borderId="75" xfId="2" applyFont="1" applyFill="1" applyBorder="1"/>
    <xf numFmtId="44" fontId="0" fillId="24" borderId="75" xfId="2" applyFont="1" applyFill="1" applyBorder="1" applyAlignment="1">
      <alignment vertical="center" wrapText="1"/>
    </xf>
    <xf numFmtId="0" fontId="3" fillId="0" borderId="303" xfId="0" applyFont="1" applyBorder="1" applyAlignment="1">
      <alignment vertical="center" wrapText="1"/>
    </xf>
    <xf numFmtId="44" fontId="0" fillId="28" borderId="232" xfId="0" applyNumberFormat="1" applyFill="1" applyBorder="1"/>
    <xf numFmtId="44" fontId="17" fillId="22" borderId="158" xfId="0" applyNumberFormat="1" applyFont="1" applyFill="1" applyBorder="1"/>
    <xf numFmtId="44" fontId="17" fillId="24" borderId="232" xfId="0" applyNumberFormat="1" applyFont="1" applyFill="1" applyBorder="1"/>
    <xf numFmtId="44" fontId="25" fillId="11" borderId="170" xfId="0" applyNumberFormat="1" applyFont="1" applyFill="1" applyBorder="1"/>
    <xf numFmtId="0" fontId="3" fillId="17" borderId="209" xfId="0" applyFont="1" applyFill="1" applyBorder="1"/>
    <xf numFmtId="0" fontId="0" fillId="17" borderId="141" xfId="0" applyFill="1" applyBorder="1"/>
    <xf numFmtId="44" fontId="27" fillId="3" borderId="5" xfId="0" applyNumberFormat="1" applyFont="1" applyFill="1" applyBorder="1" applyAlignment="1">
      <alignment horizontal="center" vertical="center"/>
    </xf>
    <xf numFmtId="44" fontId="27" fillId="3" borderId="243" xfId="0" applyNumberFormat="1" applyFont="1" applyFill="1" applyBorder="1" applyAlignment="1">
      <alignment horizontal="center" vertical="center"/>
    </xf>
    <xf numFmtId="44" fontId="27" fillId="3" borderId="232" xfId="0" applyNumberFormat="1" applyFont="1" applyFill="1" applyBorder="1" applyAlignment="1">
      <alignment vertical="center"/>
    </xf>
    <xf numFmtId="44" fontId="27" fillId="3" borderId="243" xfId="0" applyNumberFormat="1" applyFont="1" applyFill="1" applyBorder="1" applyAlignment="1">
      <alignment vertical="center"/>
    </xf>
    <xf numFmtId="44" fontId="15" fillId="0" borderId="0" xfId="0" applyNumberFormat="1" applyFont="1" applyAlignment="1">
      <alignment vertical="center"/>
    </xf>
    <xf numFmtId="0" fontId="0" fillId="0" borderId="75" xfId="0" applyBorder="1" applyAlignment="1">
      <alignment vertical="center"/>
    </xf>
    <xf numFmtId="44" fontId="0" fillId="0" borderId="81" xfId="0" applyNumberFormat="1" applyBorder="1" applyAlignment="1">
      <alignment vertical="center"/>
    </xf>
    <xf numFmtId="0" fontId="0" fillId="0" borderId="4" xfId="0" applyBorder="1" applyAlignment="1">
      <alignment vertical="center"/>
    </xf>
    <xf numFmtId="179" fontId="27" fillId="3" borderId="81" xfId="1" applyNumberFormat="1" applyFont="1" applyFill="1" applyBorder="1" applyAlignment="1">
      <alignment vertical="center"/>
    </xf>
    <xf numFmtId="0" fontId="0" fillId="0" borderId="4" xfId="0" applyBorder="1" applyAlignment="1">
      <alignment horizontal="center" vertical="center"/>
    </xf>
    <xf numFmtId="0" fontId="0" fillId="0" borderId="157" xfId="0" applyBorder="1" applyAlignment="1">
      <alignment horizontal="center" vertical="center"/>
    </xf>
    <xf numFmtId="44" fontId="0" fillId="0" borderId="189" xfId="0" applyNumberFormat="1" applyBorder="1" applyAlignment="1">
      <alignment vertical="center"/>
    </xf>
    <xf numFmtId="44" fontId="17" fillId="0" borderId="83" xfId="0" applyNumberFormat="1" applyFont="1" applyBorder="1" applyAlignment="1">
      <alignment vertical="center"/>
    </xf>
    <xf numFmtId="44" fontId="17" fillId="0" borderId="182" xfId="0" applyNumberFormat="1" applyFont="1" applyBorder="1" applyAlignment="1">
      <alignment vertical="center"/>
    </xf>
    <xf numFmtId="44" fontId="25" fillId="0" borderId="171" xfId="0" applyNumberFormat="1" applyFont="1" applyBorder="1" applyAlignment="1">
      <alignment vertical="center"/>
    </xf>
    <xf numFmtId="0" fontId="0" fillId="0" borderId="182" xfId="0" applyBorder="1" applyAlignment="1">
      <alignment vertical="center"/>
    </xf>
    <xf numFmtId="44" fontId="3" fillId="0" borderId="185" xfId="0" applyNumberFormat="1" applyFont="1" applyBorder="1" applyAlignment="1">
      <alignment vertical="center"/>
    </xf>
    <xf numFmtId="164" fontId="0" fillId="0" borderId="182" xfId="7" applyFont="1" applyBorder="1" applyAlignment="1">
      <alignment vertical="center"/>
    </xf>
    <xf numFmtId="2" fontId="3" fillId="0" borderId="171" xfId="0" applyNumberFormat="1" applyFont="1" applyBorder="1" applyAlignment="1">
      <alignment vertical="center"/>
    </xf>
    <xf numFmtId="0" fontId="3" fillId="0" borderId="162" xfId="0" applyFont="1" applyBorder="1" applyAlignment="1">
      <alignment vertical="center"/>
    </xf>
    <xf numFmtId="0" fontId="0" fillId="0" borderId="181" xfId="0" applyBorder="1" applyAlignment="1">
      <alignment vertical="center"/>
    </xf>
    <xf numFmtId="0" fontId="0" fillId="0" borderId="180" xfId="0" applyBorder="1" applyAlignment="1">
      <alignment vertical="center"/>
    </xf>
    <xf numFmtId="10" fontId="34" fillId="3" borderId="253" xfId="3" applyNumberFormat="1" applyFont="1" applyFill="1" applyBorder="1" applyAlignment="1" applyProtection="1">
      <alignment horizontal="center" vertical="center"/>
    </xf>
    <xf numFmtId="10" fontId="35" fillId="3" borderId="111" xfId="3" applyNumberFormat="1" applyFont="1" applyFill="1" applyBorder="1" applyAlignment="1" applyProtection="1">
      <alignment horizontal="center" vertical="center"/>
    </xf>
    <xf numFmtId="44" fontId="0" fillId="28" borderId="304" xfId="0" applyNumberFormat="1" applyFill="1" applyBorder="1" applyAlignment="1">
      <alignment vertical="center" wrapText="1"/>
    </xf>
    <xf numFmtId="44" fontId="0" fillId="28" borderId="305" xfId="0" applyNumberFormat="1" applyFill="1" applyBorder="1" applyAlignment="1">
      <alignment vertical="center" wrapText="1"/>
    </xf>
    <xf numFmtId="44" fontId="0" fillId="28" borderId="306" xfId="0" applyNumberFormat="1" applyFill="1" applyBorder="1" applyAlignment="1">
      <alignment vertical="center" wrapText="1"/>
    </xf>
    <xf numFmtId="44" fontId="3" fillId="21" borderId="307" xfId="2" applyFont="1" applyFill="1" applyBorder="1" applyAlignment="1">
      <alignment vertical="center" wrapText="1"/>
    </xf>
    <xf numFmtId="0" fontId="3" fillId="0" borderId="239" xfId="0" applyFont="1" applyBorder="1" applyAlignment="1">
      <alignment horizontal="center" vertical="center"/>
    </xf>
    <xf numFmtId="44" fontId="0" fillId="20" borderId="308" xfId="2" applyFont="1" applyFill="1" applyBorder="1" applyAlignment="1">
      <alignment vertical="center"/>
    </xf>
    <xf numFmtId="44" fontId="0" fillId="20" borderId="306" xfId="2" applyFont="1" applyFill="1" applyBorder="1" applyAlignment="1">
      <alignment vertical="center"/>
    </xf>
    <xf numFmtId="44" fontId="0" fillId="20" borderId="309" xfId="2" applyFont="1" applyFill="1" applyBorder="1" applyAlignment="1">
      <alignment vertical="center"/>
    </xf>
    <xf numFmtId="44" fontId="3" fillId="23" borderId="310" xfId="2" applyFont="1" applyFill="1" applyBorder="1" applyAlignment="1">
      <alignment vertical="center"/>
    </xf>
    <xf numFmtId="0" fontId="3" fillId="11" borderId="169" xfId="0" applyFont="1" applyFill="1" applyBorder="1" applyAlignment="1">
      <alignment vertical="center" wrapText="1"/>
    </xf>
    <xf numFmtId="44" fontId="3" fillId="11" borderId="260" xfId="0" applyNumberFormat="1" applyFont="1" applyFill="1" applyBorder="1" applyAlignment="1">
      <alignment vertical="center" wrapText="1"/>
    </xf>
    <xf numFmtId="44" fontId="0" fillId="28" borderId="304" xfId="0" applyNumberFormat="1" applyFill="1" applyBorder="1" applyAlignment="1">
      <alignment vertical="center"/>
    </xf>
    <xf numFmtId="44" fontId="0" fillId="28" borderId="305" xfId="0" applyNumberFormat="1" applyFill="1" applyBorder="1" applyAlignment="1">
      <alignment vertical="center"/>
    </xf>
    <xf numFmtId="44" fontId="0" fillId="28" borderId="306" xfId="0" applyNumberFormat="1" applyFill="1" applyBorder="1" applyAlignment="1">
      <alignment vertical="center"/>
    </xf>
    <xf numFmtId="44" fontId="3" fillId="21" borderId="307" xfId="2" applyFont="1" applyFill="1" applyBorder="1" applyAlignment="1">
      <alignment vertical="center"/>
    </xf>
    <xf numFmtId="44" fontId="0" fillId="20" borderId="305" xfId="2" applyFont="1" applyFill="1" applyBorder="1" applyAlignment="1">
      <alignment vertical="center"/>
    </xf>
    <xf numFmtId="44" fontId="3" fillId="23" borderId="311" xfId="2" applyFont="1" applyFill="1" applyBorder="1" applyAlignment="1">
      <alignment vertical="center"/>
    </xf>
    <xf numFmtId="164" fontId="0" fillId="24" borderId="171" xfId="7" applyFont="1" applyFill="1" applyBorder="1"/>
    <xf numFmtId="164" fontId="0" fillId="28" borderId="164" xfId="7" applyFont="1" applyFill="1" applyBorder="1"/>
    <xf numFmtId="179" fontId="5" fillId="3" borderId="39" xfId="1" applyNumberFormat="1" applyFont="1" applyFill="1" applyBorder="1" applyAlignment="1">
      <alignment horizontal="center" vertical="center"/>
    </xf>
    <xf numFmtId="179" fontId="5" fillId="3" borderId="65" xfId="1" applyNumberFormat="1" applyFont="1" applyFill="1" applyBorder="1" applyAlignment="1">
      <alignment horizontal="center" vertical="center"/>
    </xf>
    <xf numFmtId="0" fontId="8" fillId="2" borderId="196" xfId="6" applyFont="1" applyFill="1" applyBorder="1" applyAlignment="1">
      <alignment horizontal="left" vertical="center" wrapText="1"/>
    </xf>
    <xf numFmtId="0" fontId="8" fillId="2" borderId="81" xfId="6" applyFont="1" applyFill="1" applyBorder="1" applyAlignment="1">
      <alignment horizontal="left" vertical="center" wrapText="1"/>
    </xf>
    <xf numFmtId="0" fontId="8" fillId="2" borderId="80" xfId="6" applyFont="1" applyFill="1" applyBorder="1" applyAlignment="1">
      <alignment horizontal="left" vertical="center" wrapText="1"/>
    </xf>
    <xf numFmtId="164" fontId="10" fillId="3" borderId="314" xfId="1" applyNumberFormat="1" applyFont="1" applyFill="1" applyBorder="1" applyAlignment="1">
      <alignment horizontal="center" vertical="center"/>
    </xf>
    <xf numFmtId="164" fontId="10" fillId="3" borderId="128" xfId="1" applyNumberFormat="1" applyFont="1" applyFill="1" applyBorder="1" applyAlignment="1">
      <alignment horizontal="center" vertical="center"/>
    </xf>
    <xf numFmtId="170" fontId="5" fillId="3" borderId="312" xfId="3" applyNumberFormat="1" applyFont="1" applyFill="1" applyBorder="1" applyAlignment="1">
      <alignment horizontal="center" vertical="center"/>
    </xf>
    <xf numFmtId="170" fontId="5" fillId="3" borderId="313" xfId="3" applyNumberFormat="1" applyFont="1" applyFill="1" applyBorder="1" applyAlignment="1">
      <alignment horizontal="center" vertical="center"/>
    </xf>
    <xf numFmtId="10" fontId="27" fillId="3" borderId="81" xfId="3" applyNumberFormat="1" applyFont="1" applyFill="1" applyBorder="1" applyAlignment="1">
      <alignment vertical="center"/>
    </xf>
    <xf numFmtId="164" fontId="19" fillId="3" borderId="76" xfId="1" applyNumberFormat="1" applyFont="1" applyFill="1" applyBorder="1" applyAlignment="1">
      <alignment vertical="center"/>
    </xf>
    <xf numFmtId="164" fontId="0" fillId="0" borderId="78" xfId="7" applyFont="1" applyBorder="1" applyAlignment="1">
      <alignment vertical="center" wrapText="1"/>
    </xf>
    <xf numFmtId="0" fontId="15" fillId="3" borderId="14" xfId="4" applyFont="1" applyFill="1" applyBorder="1" applyAlignment="1">
      <alignment vertical="center" wrapText="1"/>
    </xf>
    <xf numFmtId="0" fontId="15" fillId="3" borderId="315" xfId="4" applyFont="1" applyFill="1" applyBorder="1" applyAlignment="1">
      <alignment vertical="center" wrapText="1"/>
    </xf>
    <xf numFmtId="0" fontId="15" fillId="3" borderId="316" xfId="4" applyFont="1" applyFill="1" applyBorder="1" applyAlignment="1">
      <alignment vertical="center" wrapText="1"/>
    </xf>
    <xf numFmtId="0" fontId="0" fillId="3" borderId="317" xfId="0" applyFill="1" applyBorder="1" applyAlignment="1">
      <alignment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5" fillId="3" borderId="9" xfId="4" applyFont="1" applyFill="1" applyBorder="1" applyAlignment="1">
      <alignment vertical="center" wrapText="1"/>
    </xf>
    <xf numFmtId="0" fontId="15" fillId="3" borderId="318" xfId="4" applyFont="1" applyFill="1" applyBorder="1" applyAlignment="1">
      <alignment vertical="center" wrapText="1"/>
    </xf>
    <xf numFmtId="0" fontId="15" fillId="3" borderId="319" xfId="4" applyFont="1" applyFill="1" applyBorder="1" applyAlignment="1">
      <alignment vertical="center" wrapText="1"/>
    </xf>
    <xf numFmtId="0" fontId="0" fillId="3" borderId="320" xfId="0" applyFill="1" applyBorder="1" applyAlignment="1">
      <alignment wrapText="1"/>
    </xf>
    <xf numFmtId="0" fontId="0" fillId="3" borderId="321" xfId="0" applyFill="1" applyBorder="1" applyAlignment="1">
      <alignment vertical="center" wrapText="1"/>
    </xf>
    <xf numFmtId="0" fontId="0" fillId="3" borderId="9" xfId="0" applyFill="1" applyBorder="1" applyAlignment="1">
      <alignment vertical="center" wrapText="1"/>
    </xf>
    <xf numFmtId="0" fontId="0" fillId="3" borderId="30" xfId="0" applyFill="1" applyBorder="1" applyAlignment="1">
      <alignment vertical="center" wrapText="1"/>
    </xf>
    <xf numFmtId="0" fontId="15" fillId="3" borderId="13" xfId="4" applyFont="1" applyFill="1" applyBorder="1" applyAlignment="1">
      <alignment vertical="center" wrapText="1"/>
    </xf>
    <xf numFmtId="0" fontId="15" fillId="3" borderId="321" xfId="4" applyFont="1" applyFill="1" applyBorder="1" applyAlignment="1">
      <alignment vertical="center" wrapText="1"/>
    </xf>
    <xf numFmtId="0" fontId="8" fillId="2" borderId="196" xfId="4" applyFont="1" applyFill="1" applyBorder="1" applyAlignment="1">
      <alignment horizontal="center" vertical="center"/>
    </xf>
    <xf numFmtId="0" fontId="8" fillId="2" borderId="195" xfId="4" applyFont="1" applyFill="1" applyBorder="1" applyAlignment="1">
      <alignment horizontal="center" vertical="center"/>
    </xf>
    <xf numFmtId="0" fontId="8" fillId="2" borderId="81" xfId="4" applyFont="1" applyFill="1" applyBorder="1" applyAlignment="1">
      <alignment horizontal="center" vertical="center"/>
    </xf>
    <xf numFmtId="0" fontId="0" fillId="3" borderId="322" xfId="0" applyFill="1" applyBorder="1" applyAlignment="1">
      <alignment wrapText="1"/>
    </xf>
    <xf numFmtId="0" fontId="0" fillId="3" borderId="323" xfId="0" applyFill="1" applyBorder="1" applyAlignment="1">
      <alignment wrapText="1"/>
    </xf>
    <xf numFmtId="0" fontId="0" fillId="3" borderId="324" xfId="0" applyFill="1" applyBorder="1" applyAlignment="1">
      <alignment vertical="center" wrapText="1"/>
    </xf>
    <xf numFmtId="0" fontId="0" fillId="3" borderId="325" xfId="0" applyFill="1" applyBorder="1" applyAlignment="1">
      <alignment wrapText="1"/>
    </xf>
    <xf numFmtId="0" fontId="0" fillId="3" borderId="326" xfId="0" applyFill="1" applyBorder="1" applyAlignment="1">
      <alignment vertical="center" wrapText="1"/>
    </xf>
    <xf numFmtId="0" fontId="3" fillId="6" borderId="6" xfId="0" applyFont="1" applyFill="1" applyBorder="1" applyAlignment="1">
      <alignment vertical="center" wrapText="1"/>
    </xf>
    <xf numFmtId="0" fontId="3" fillId="6" borderId="159" xfId="0" applyFont="1" applyFill="1" applyBorder="1"/>
    <xf numFmtId="44" fontId="0" fillId="6" borderId="83" xfId="0" applyNumberFormat="1" applyFill="1" applyBorder="1"/>
    <xf numFmtId="44" fontId="27" fillId="6" borderId="158" xfId="2" applyFont="1" applyFill="1" applyBorder="1" applyAlignment="1">
      <alignment vertical="center"/>
    </xf>
    <xf numFmtId="0" fontId="3" fillId="6" borderId="6" xfId="0" applyFont="1" applyFill="1" applyBorder="1"/>
    <xf numFmtId="44" fontId="0" fillId="6" borderId="0" xfId="0" applyNumberFormat="1" applyFill="1"/>
    <xf numFmtId="44" fontId="0" fillId="6" borderId="75" xfId="0" applyNumberFormat="1" applyFill="1" applyBorder="1" applyAlignment="1">
      <alignment vertical="center"/>
    </xf>
    <xf numFmtId="44" fontId="3" fillId="6" borderId="0" xfId="0" applyNumberFormat="1" applyFont="1" applyFill="1" applyAlignment="1">
      <alignment vertical="center"/>
    </xf>
    <xf numFmtId="44" fontId="3" fillId="6" borderId="75" xfId="0" applyNumberFormat="1" applyFont="1" applyFill="1" applyBorder="1" applyAlignment="1">
      <alignment vertical="center"/>
    </xf>
    <xf numFmtId="0" fontId="3" fillId="6" borderId="233" xfId="0" applyFont="1" applyFill="1" applyBorder="1"/>
    <xf numFmtId="44" fontId="3" fillId="0" borderId="81" xfId="0" applyNumberFormat="1" applyFont="1" applyBorder="1" applyAlignment="1">
      <alignment vertical="center"/>
    </xf>
    <xf numFmtId="44" fontId="0" fillId="0" borderId="75" xfId="0" applyNumberFormat="1" applyBorder="1" applyAlignment="1">
      <alignment vertical="center"/>
    </xf>
    <xf numFmtId="0" fontId="0" fillId="6" borderId="182" xfId="0" applyFill="1" applyBorder="1"/>
    <xf numFmtId="0" fontId="3" fillId="6" borderId="322" xfId="0" applyFont="1" applyFill="1" applyBorder="1"/>
    <xf numFmtId="44" fontId="0" fillId="6" borderId="327" xfId="0" applyNumberFormat="1" applyFill="1" applyBorder="1"/>
    <xf numFmtId="44" fontId="27" fillId="6" borderId="328" xfId="0" applyNumberFormat="1" applyFont="1" applyFill="1" applyBorder="1" applyAlignment="1">
      <alignment vertical="center"/>
    </xf>
    <xf numFmtId="0" fontId="3" fillId="6" borderId="329" xfId="0" applyFont="1" applyFill="1" applyBorder="1"/>
    <xf numFmtId="44" fontId="0" fillId="6" borderId="330" xfId="0" applyNumberFormat="1" applyFill="1" applyBorder="1"/>
    <xf numFmtId="44" fontId="27" fillId="6" borderId="331" xfId="0" applyNumberFormat="1" applyFont="1" applyFill="1" applyBorder="1" applyAlignment="1">
      <alignment vertical="center"/>
    </xf>
    <xf numFmtId="0" fontId="0" fillId="6" borderId="317" xfId="0" applyFill="1" applyBorder="1"/>
    <xf numFmtId="0" fontId="0" fillId="6" borderId="332" xfId="0" applyFill="1" applyBorder="1"/>
    <xf numFmtId="44" fontId="27" fillId="3" borderId="333" xfId="2" applyFont="1" applyFill="1" applyBorder="1" applyAlignment="1">
      <alignment vertical="center"/>
    </xf>
    <xf numFmtId="0" fontId="0" fillId="6" borderId="329" xfId="0" applyFill="1" applyBorder="1"/>
    <xf numFmtId="0" fontId="0" fillId="6" borderId="330" xfId="0" applyFill="1" applyBorder="1"/>
    <xf numFmtId="44" fontId="27" fillId="3" borderId="331" xfId="2" applyFont="1" applyFill="1" applyBorder="1" applyAlignment="1">
      <alignment vertical="center"/>
    </xf>
    <xf numFmtId="0" fontId="8" fillId="2" borderId="334" xfId="4" applyFont="1" applyFill="1" applyBorder="1" applyAlignment="1">
      <alignment horizontal="center" vertical="center" wrapText="1"/>
    </xf>
    <xf numFmtId="0" fontId="8" fillId="2" borderId="335" xfId="4" applyFont="1" applyFill="1" applyBorder="1" applyAlignment="1">
      <alignment horizontal="center" vertical="center" wrapText="1"/>
    </xf>
    <xf numFmtId="0" fontId="8" fillId="2" borderId="336" xfId="4" applyFont="1" applyFill="1" applyBorder="1" applyAlignment="1">
      <alignment horizontal="center" vertical="center" wrapText="1"/>
    </xf>
    <xf numFmtId="0" fontId="0" fillId="6" borderId="337" xfId="0" applyFill="1" applyBorder="1"/>
    <xf numFmtId="44" fontId="27" fillId="3" borderId="338" xfId="2" applyFont="1" applyFill="1" applyBorder="1" applyAlignment="1">
      <alignment vertical="center"/>
    </xf>
    <xf numFmtId="44" fontId="27" fillId="3" borderId="339" xfId="2" applyFont="1" applyFill="1" applyBorder="1" applyAlignment="1">
      <alignment vertical="center"/>
    </xf>
    <xf numFmtId="0" fontId="0" fillId="6" borderId="340" xfId="0" applyFill="1" applyBorder="1"/>
    <xf numFmtId="44" fontId="27" fillId="3" borderId="341" xfId="2" applyFont="1" applyFill="1" applyBorder="1" applyAlignment="1">
      <alignment vertical="center"/>
    </xf>
    <xf numFmtId="44" fontId="27" fillId="3" borderId="342" xfId="2" applyFont="1" applyFill="1" applyBorder="1" applyAlignment="1">
      <alignment vertical="center"/>
    </xf>
    <xf numFmtId="0" fontId="0" fillId="6" borderId="343" xfId="0" applyFill="1" applyBorder="1"/>
    <xf numFmtId="44" fontId="27" fillId="3" borderId="344" xfId="2" applyFont="1" applyFill="1" applyBorder="1" applyAlignment="1">
      <alignment vertical="center"/>
    </xf>
    <xf numFmtId="44" fontId="27" fillId="3" borderId="50" xfId="2" applyFont="1" applyFill="1" applyBorder="1" applyAlignment="1">
      <alignment vertical="center"/>
    </xf>
    <xf numFmtId="0" fontId="0" fillId="6" borderId="345" xfId="0" applyFill="1" applyBorder="1"/>
    <xf numFmtId="44" fontId="27" fillId="3" borderId="346" xfId="2" applyFont="1" applyFill="1" applyBorder="1" applyAlignment="1">
      <alignment vertical="center"/>
    </xf>
    <xf numFmtId="44" fontId="27" fillId="3" borderId="347" xfId="2" applyFont="1" applyFill="1" applyBorder="1" applyAlignment="1">
      <alignment vertical="center"/>
    </xf>
    <xf numFmtId="0" fontId="19" fillId="7" borderId="76" xfId="0" applyFont="1" applyFill="1" applyBorder="1" applyAlignment="1">
      <alignment horizontal="center" vertical="center"/>
    </xf>
    <xf numFmtId="0" fontId="8" fillId="2" borderId="139" xfId="4" applyFont="1" applyFill="1" applyBorder="1" applyAlignment="1">
      <alignment horizontal="center" vertical="center"/>
    </xf>
    <xf numFmtId="0" fontId="8" fillId="2" borderId="348" xfId="4" applyFont="1" applyFill="1" applyBorder="1" applyAlignment="1">
      <alignment horizontal="center" vertical="center"/>
    </xf>
    <xf numFmtId="0" fontId="8" fillId="2" borderId="339" xfId="4" applyFont="1" applyFill="1" applyBorder="1" applyAlignment="1">
      <alignment horizontal="center" vertical="center"/>
    </xf>
    <xf numFmtId="0" fontId="19" fillId="7" borderId="349" xfId="0" applyFont="1" applyFill="1" applyBorder="1" applyAlignment="1">
      <alignment horizontal="center" vertical="center"/>
    </xf>
    <xf numFmtId="0" fontId="0" fillId="3" borderId="196" xfId="0" applyFill="1" applyBorder="1"/>
    <xf numFmtId="9" fontId="0" fillId="3" borderId="195" xfId="3" applyFont="1" applyFill="1" applyBorder="1"/>
    <xf numFmtId="0" fontId="0" fillId="6" borderId="350" xfId="0" applyFill="1" applyBorder="1"/>
    <xf numFmtId="169" fontId="27" fillId="3" borderId="349" xfId="1" applyNumberFormat="1" applyFont="1" applyFill="1" applyBorder="1" applyAlignment="1">
      <alignment vertical="center"/>
    </xf>
    <xf numFmtId="169" fontId="27" fillId="3" borderId="333" xfId="1" applyNumberFormat="1" applyFont="1" applyFill="1" applyBorder="1" applyAlignment="1">
      <alignment vertical="center"/>
    </xf>
    <xf numFmtId="0" fontId="0" fillId="6" borderId="351" xfId="0" applyFill="1" applyBorder="1"/>
    <xf numFmtId="169" fontId="27" fillId="3" borderId="352" xfId="1" applyNumberFormat="1" applyFont="1" applyFill="1" applyBorder="1" applyAlignment="1">
      <alignment vertical="center"/>
    </xf>
    <xf numFmtId="43" fontId="27" fillId="3" borderId="333" xfId="1" applyFont="1" applyFill="1" applyBorder="1" applyAlignment="1">
      <alignment vertical="center"/>
    </xf>
    <xf numFmtId="43" fontId="27" fillId="3" borderId="352" xfId="1" applyFont="1" applyFill="1" applyBorder="1" applyAlignment="1">
      <alignment vertical="center"/>
    </xf>
    <xf numFmtId="44" fontId="27" fillId="3" borderId="353" xfId="2" applyFont="1" applyFill="1" applyBorder="1" applyAlignment="1">
      <alignment vertical="center"/>
    </xf>
    <xf numFmtId="44" fontId="27" fillId="3" borderId="354" xfId="2" applyFont="1" applyFill="1" applyBorder="1" applyAlignment="1">
      <alignment vertical="center"/>
    </xf>
    <xf numFmtId="0" fontId="0" fillId="6" borderId="355" xfId="0" applyFill="1" applyBorder="1"/>
    <xf numFmtId="0" fontId="0" fillId="6" borderId="356" xfId="0" applyFill="1" applyBorder="1"/>
    <xf numFmtId="44" fontId="27" fillId="3" borderId="349" xfId="2" applyFont="1" applyFill="1" applyBorder="1" applyAlignment="1">
      <alignment vertical="center"/>
    </xf>
    <xf numFmtId="44" fontId="27" fillId="3" borderId="352" xfId="2" applyFont="1" applyFill="1" applyBorder="1" applyAlignment="1">
      <alignment vertical="center"/>
    </xf>
    <xf numFmtId="44" fontId="27" fillId="3" borderId="350" xfId="2" applyFont="1" applyFill="1" applyBorder="1" applyAlignment="1">
      <alignment vertical="center"/>
    </xf>
    <xf numFmtId="44" fontId="27" fillId="3" borderId="332" xfId="2" applyFont="1" applyFill="1" applyBorder="1" applyAlignment="1">
      <alignment vertical="center"/>
    </xf>
    <xf numFmtId="44" fontId="27" fillId="3" borderId="351" xfId="2" applyFont="1" applyFill="1" applyBorder="1" applyAlignment="1">
      <alignment vertical="center"/>
    </xf>
    <xf numFmtId="177" fontId="27" fillId="3" borderId="349" xfId="2" applyNumberFormat="1" applyFont="1" applyFill="1" applyBorder="1" applyAlignment="1">
      <alignment vertical="center"/>
    </xf>
    <xf numFmtId="177" fontId="27" fillId="3" borderId="333" xfId="2" applyNumberFormat="1" applyFont="1" applyFill="1" applyBorder="1" applyAlignment="1">
      <alignment vertical="center"/>
    </xf>
    <xf numFmtId="177" fontId="27" fillId="3" borderId="352" xfId="2" applyNumberFormat="1" applyFont="1" applyFill="1" applyBorder="1" applyAlignment="1">
      <alignment vertical="center"/>
    </xf>
    <xf numFmtId="0" fontId="0" fillId="3" borderId="355" xfId="0" applyFill="1" applyBorder="1" applyAlignment="1">
      <alignment vertical="center" wrapText="1"/>
    </xf>
    <xf numFmtId="0" fontId="0" fillId="3" borderId="350" xfId="0" applyFill="1" applyBorder="1"/>
    <xf numFmtId="0" fontId="0" fillId="3" borderId="356" xfId="0" applyFill="1" applyBorder="1"/>
    <xf numFmtId="0" fontId="0" fillId="3" borderId="351" xfId="0" applyFill="1" applyBorder="1"/>
    <xf numFmtId="0" fontId="12" fillId="11" borderId="109" xfId="4" applyFont="1" applyFill="1" applyBorder="1" applyAlignment="1">
      <alignment horizontal="center" vertical="center"/>
    </xf>
    <xf numFmtId="0" fontId="3" fillId="7" borderId="201" xfId="0" applyFont="1" applyFill="1" applyBorder="1" applyAlignment="1">
      <alignment horizontal="center" vertical="center" wrapText="1"/>
    </xf>
    <xf numFmtId="164" fontId="3" fillId="7" borderId="200" xfId="7" applyFont="1" applyFill="1" applyBorder="1" applyAlignment="1">
      <alignment vertical="center"/>
    </xf>
    <xf numFmtId="9" fontId="3" fillId="7" borderId="293" xfId="3" applyFont="1" applyFill="1" applyBorder="1" applyAlignment="1">
      <alignment horizontal="center" vertical="center"/>
    </xf>
    <xf numFmtId="0" fontId="3" fillId="21" borderId="76" xfId="0" applyFont="1" applyFill="1" applyBorder="1" applyAlignment="1">
      <alignment horizontal="center"/>
    </xf>
    <xf numFmtId="0" fontId="3" fillId="23" borderId="81" xfId="0" applyFont="1" applyFill="1" applyBorder="1" applyAlignment="1">
      <alignment horizontal="center"/>
    </xf>
    <xf numFmtId="0" fontId="3" fillId="17" borderId="5" xfId="0" applyFont="1" applyFill="1" applyBorder="1" applyAlignment="1">
      <alignment horizontal="center"/>
    </xf>
    <xf numFmtId="0" fontId="3" fillId="17" borderId="76" xfId="0" applyFont="1" applyFill="1" applyBorder="1" applyAlignment="1">
      <alignment horizontal="center"/>
    </xf>
    <xf numFmtId="0" fontId="76" fillId="7" borderId="81" xfId="4" applyFont="1" applyFill="1" applyBorder="1" applyAlignment="1">
      <alignment horizontal="center" vertical="center"/>
    </xf>
    <xf numFmtId="0" fontId="0" fillId="0" borderId="79" xfId="0"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xf>
    <xf numFmtId="0" fontId="0" fillId="0" borderId="0" xfId="0" applyAlignment="1">
      <alignment horizontal="center" vertical="center"/>
    </xf>
    <xf numFmtId="0" fontId="32" fillId="0" borderId="79" xfId="0" applyFont="1" applyBorder="1" applyAlignment="1">
      <alignment horizontal="center" vertical="center" wrapText="1"/>
    </xf>
    <xf numFmtId="0" fontId="32" fillId="0" borderId="0" xfId="0" applyFont="1" applyAlignment="1">
      <alignment horizontal="center" vertical="center" wrapText="1"/>
    </xf>
    <xf numFmtId="0" fontId="33" fillId="0" borderId="79" xfId="0" applyFont="1" applyBorder="1" applyAlignment="1">
      <alignment horizontal="center" vertical="center" wrapText="1"/>
    </xf>
    <xf numFmtId="0" fontId="33" fillId="0" borderId="0" xfId="0" applyFont="1" applyAlignment="1">
      <alignment horizontal="center" vertical="center" wrapText="1"/>
    </xf>
    <xf numFmtId="0" fontId="47" fillId="0" borderId="84"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9" fontId="39" fillId="3" borderId="111" xfId="0" applyNumberFormat="1" applyFont="1" applyFill="1" applyBorder="1" applyAlignment="1">
      <alignment horizontal="center" vertical="center"/>
    </xf>
    <xf numFmtId="0" fontId="39" fillId="3" borderId="110" xfId="0" applyFont="1" applyFill="1" applyBorder="1" applyAlignment="1">
      <alignment horizontal="center" vertical="center"/>
    </xf>
    <xf numFmtId="3" fontId="39" fillId="3" borderId="111" xfId="0" applyNumberFormat="1" applyFont="1" applyFill="1" applyBorder="1" applyAlignment="1">
      <alignment horizontal="center" vertical="center"/>
    </xf>
    <xf numFmtId="44" fontId="39" fillId="3" borderId="111" xfId="2" applyFont="1" applyFill="1" applyBorder="1" applyAlignment="1">
      <alignment horizontal="center" vertical="center"/>
    </xf>
    <xf numFmtId="44" fontId="39" fillId="3" borderId="110" xfId="2" applyFont="1" applyFill="1" applyBorder="1" applyAlignment="1">
      <alignment horizontal="center" vertical="center"/>
    </xf>
    <xf numFmtId="171" fontId="61" fillId="0" borderId="156" xfId="0" applyNumberFormat="1" applyFont="1" applyBorder="1" applyAlignment="1">
      <alignment horizontal="center" vertical="center"/>
    </xf>
    <xf numFmtId="171" fontId="61" fillId="0" borderId="155" xfId="0" applyNumberFormat="1" applyFont="1"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cellXfs>
  <cellStyles count="8">
    <cellStyle name="Millares" xfId="1" builtinId="3"/>
    <cellStyle name="Millares 2" xfId="7" xr:uid="{BCA28D0F-B746-40F9-8EEF-9B6C182B5D7E}"/>
    <cellStyle name="Moneda" xfId="2" builtinId="4"/>
    <cellStyle name="Normal" xfId="0" builtinId="0"/>
    <cellStyle name="Normal_AMADO relacion de material y equipamiento sartaña" xfId="6" xr:uid="{286521FB-D315-4829-A634-708B355C98E0}"/>
    <cellStyle name="Normal_CUENTA EXPLOTACION ALMERÍA" xfId="5" xr:uid="{DDFC86DF-84A6-4E62-91E2-AD8B37647199}"/>
    <cellStyle name="Normal_MODELEVA" xfId="4" xr:uid="{32889741-DDFA-4B7D-8036-74F3843DC6F2}"/>
    <cellStyle name="Porcentaje" xfId="3" builtinId="5"/>
  </cellStyles>
  <dxfs count="77">
    <dxf>
      <fill>
        <patternFill>
          <bgColor theme="9" tint="0.39994506668294322"/>
        </patternFill>
      </fill>
    </dxf>
    <dxf>
      <fill>
        <patternFill>
          <bgColor theme="6"/>
        </patternFill>
      </fill>
    </dxf>
    <dxf>
      <font>
        <color rgb="FF006100"/>
      </font>
      <fill>
        <patternFill>
          <bgColor rgb="FFC6EFCE"/>
        </patternFill>
      </fill>
    </dxf>
    <dxf>
      <fill>
        <patternFill>
          <bgColor theme="6"/>
        </patternFill>
      </fill>
    </dxf>
    <dxf>
      <fill>
        <patternFill>
          <bgColor rgb="FFFFFF99"/>
        </patternFill>
      </fill>
    </dxf>
    <dxf>
      <fill>
        <patternFill>
          <bgColor theme="5" tint="0.39994506668294322"/>
        </patternFill>
      </fill>
    </dxf>
    <dxf>
      <fill>
        <patternFill>
          <bgColor theme="6" tint="0.39994506668294322"/>
        </patternFill>
      </fill>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s>
  <tableStyles count="1" defaultTableStyle="TableStyleMedium2" defaultPivotStyle="PivotStyleLight16">
    <tableStyle name="Invisible" pivot="0" table="0" count="0" xr9:uid="{C6554C8F-81A1-49F5-BEAE-AA9E3EF3C25C}"/>
  </tableStyles>
  <colors>
    <mruColors>
      <color rgb="FF261036"/>
      <color rgb="FFA365D1"/>
      <color rgb="FFF2F2F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9</xdr:col>
      <xdr:colOff>586740</xdr:colOff>
      <xdr:row>1</xdr:row>
      <xdr:rowOff>137160</xdr:rowOff>
    </xdr:from>
    <xdr:to>
      <xdr:col>16</xdr:col>
      <xdr:colOff>213360</xdr:colOff>
      <xdr:row>9</xdr:row>
      <xdr:rowOff>99060</xdr:rowOff>
    </xdr:to>
    <xdr:sp macro="" textlink="">
      <xdr:nvSpPr>
        <xdr:cNvPr id="2" name="CuadroTexto 1">
          <a:extLst>
            <a:ext uri="{FF2B5EF4-FFF2-40B4-BE49-F238E27FC236}">
              <a16:creationId xmlns:a16="http://schemas.microsoft.com/office/drawing/2014/main" id="{473DA9D5-D951-45D0-B1F4-E53890731DDC}"/>
            </a:ext>
          </a:extLst>
        </xdr:cNvPr>
        <xdr:cNvSpPr txBox="1"/>
      </xdr:nvSpPr>
      <xdr:spPr>
        <a:xfrm>
          <a:off x="5935980" y="320040"/>
          <a:ext cx="3787140" cy="14249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É posible variar os consumos mensuais mínimo e máximo de cada socio individual, realizando a oportuna modificación no Libro Excel denominado Insumos_Plan_de_Negocio.xlsx.</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184150</xdr:rowOff>
    </xdr:from>
    <xdr:to>
      <xdr:col>9</xdr:col>
      <xdr:colOff>527050</xdr:colOff>
      <xdr:row>7</xdr:row>
      <xdr:rowOff>57150</xdr:rowOff>
    </xdr:to>
    <xdr:sp macro="" textlink="">
      <xdr:nvSpPr>
        <xdr:cNvPr id="2" name="CuadroTexto 1">
          <a:extLst>
            <a:ext uri="{FF2B5EF4-FFF2-40B4-BE49-F238E27FC236}">
              <a16:creationId xmlns:a16="http://schemas.microsoft.com/office/drawing/2014/main" id="{B5AF2C2D-D9E8-4B19-8DC5-AAA17C6DE801}"/>
            </a:ext>
          </a:extLst>
        </xdr:cNvPr>
        <xdr:cNvSpPr txBox="1"/>
      </xdr:nvSpPr>
      <xdr:spPr>
        <a:xfrm>
          <a:off x="3962400" y="184150"/>
          <a:ext cx="3696970" cy="115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rgbClr val="FF0000"/>
              </a:solidFill>
            </a:rPr>
            <a:t>Precisión Importante:</a:t>
          </a:r>
        </a:p>
        <a:p>
          <a:r>
            <a:rPr lang="es-ES" sz="1100" b="1">
              <a:solidFill>
                <a:sysClr val="windowText" lastClr="000000"/>
              </a:solidFill>
            </a:rPr>
            <a:t>Todos os campos calcúlanse automáticamente, segundo</a:t>
          </a:r>
          <a:r>
            <a:rPr lang="es-ES" sz="1100" b="1" baseline="0">
              <a:solidFill>
                <a:sysClr val="windowText" lastClr="000000"/>
              </a:solidFill>
            </a:rPr>
            <a:t> o indicado no libro denominado Insumos_Plan_de_Negocio.xlsx. Calquera modificación que precise realizarse deberá efectuarse sobre o mencionado libro e NON sobre o actual.</a:t>
          </a:r>
          <a:endParaRPr lang="es-ES"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603250</xdr:colOff>
      <xdr:row>0</xdr:row>
      <xdr:rowOff>234950</xdr:rowOff>
    </xdr:from>
    <xdr:to>
      <xdr:col>14</xdr:col>
      <xdr:colOff>133350</xdr:colOff>
      <xdr:row>10</xdr:row>
      <xdr:rowOff>139700</xdr:rowOff>
    </xdr:to>
    <xdr:sp macro="" textlink="">
      <xdr:nvSpPr>
        <xdr:cNvPr id="2" name="CuadroTexto 1">
          <a:extLst>
            <a:ext uri="{FF2B5EF4-FFF2-40B4-BE49-F238E27FC236}">
              <a16:creationId xmlns:a16="http://schemas.microsoft.com/office/drawing/2014/main" id="{6C7420A1-A657-46DF-861A-6128F5F02665}"/>
            </a:ext>
          </a:extLst>
        </xdr:cNvPr>
        <xdr:cNvSpPr txBox="1"/>
      </xdr:nvSpPr>
      <xdr:spPr>
        <a:xfrm>
          <a:off x="6089650" y="181610"/>
          <a:ext cx="2578100" cy="178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Variando </a:t>
          </a:r>
          <a:r>
            <a:rPr lang="es-ES" sz="1100" b="1">
              <a:solidFill>
                <a:srgbClr val="FF0000"/>
              </a:solidFill>
            </a:rPr>
            <a:t>únicamente</a:t>
          </a:r>
          <a:r>
            <a:rPr lang="es-ES" sz="1100" b="1"/>
            <a:t> os valores das celas destacadas</a:t>
          </a:r>
          <a:r>
            <a:rPr lang="es-ES" sz="1100" b="1" baseline="0"/>
            <a:t> coas cores verde e vermella, varíanse os limiares mínimo e máximo da distribución de consumos mensuais entre os socios. Os valores concretos destes consumos, así como da suma dos mesmos, son aleatorios e xéranse automáticamente, polo que non son estables. Variando o valor da cela en cor azul, indícase a proporción de aforro sobre a factura eléctrica inicial que se desexa para cada socio.</a:t>
          </a:r>
          <a:endParaRPr lang="es-E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F5E18F8A-B5C6-4960-BB06-028A92730756}"/>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8B278A3B-A1A5-4531-A2E0-1095E8432C68}"/>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A580A467-D896-4C4B-8BCC-F7FBD6A9076B}"/>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69850</xdr:colOff>
      <xdr:row>17</xdr:row>
      <xdr:rowOff>19050</xdr:rowOff>
    </xdr:to>
    <xdr:sp macro="" textlink="">
      <xdr:nvSpPr>
        <xdr:cNvPr id="2" name="CuadroTexto 1">
          <a:extLst>
            <a:ext uri="{FF2B5EF4-FFF2-40B4-BE49-F238E27FC236}">
              <a16:creationId xmlns:a16="http://schemas.microsoft.com/office/drawing/2014/main" id="{81F7FDAD-D6B6-4808-AAD6-150C6280819A}"/>
            </a:ext>
          </a:extLst>
        </xdr:cNvPr>
        <xdr:cNvSpPr txBox="1"/>
      </xdr:nvSpPr>
      <xdr:spPr>
        <a:xfrm>
          <a:off x="0" y="237744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D0FF34A2-23EC-4123-B610-1B285A9C8F21}"/>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86178BFA-3F61-43B4-8B1D-CBC68BB22EE0}"/>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6E9910DD-8D42-4F7A-AEF0-ECE1AC4EAD1A}"/>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69850</xdr:colOff>
      <xdr:row>16</xdr:row>
      <xdr:rowOff>19050</xdr:rowOff>
    </xdr:to>
    <xdr:sp macro="" textlink="">
      <xdr:nvSpPr>
        <xdr:cNvPr id="2" name="CuadroTexto 1">
          <a:extLst>
            <a:ext uri="{FF2B5EF4-FFF2-40B4-BE49-F238E27FC236}">
              <a16:creationId xmlns:a16="http://schemas.microsoft.com/office/drawing/2014/main" id="{B4981E0D-01E7-42AB-84F3-D88E78429FB8}"/>
            </a:ext>
          </a:extLst>
        </xdr:cNvPr>
        <xdr:cNvSpPr txBox="1"/>
      </xdr:nvSpPr>
      <xdr:spPr>
        <a:xfrm>
          <a:off x="0" y="219456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7BE42123-F5B5-44F9-A608-E7C571B697EC}"/>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XS" id="{9B6ABAFA-BF96-4687-8DDB-6850797B9550}" userId="XS" providerId="None"/>
  <person displayName="José Manuel Heredia Conde" id="{346655D5-DAC3-42DB-8064-FCC30CB73D19}" userId="S::jheredia@uvigo.gal::fa1c9387-269a-4bc8-8538-33a701d8d41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D78FA9-9C8C-4750-99C7-5BBB211CA8B5}" name="tabIdiomas" displayName="tabIdiomas" ref="A1:E192" totalsRowShown="0" dataDxfId="76">
  <autoFilter ref="A1:E192" xr:uid="{84D78FA9-9C8C-4750-99C7-5BBB211CA8B5}"/>
  <tableColumns count="5">
    <tableColumn id="1" xr3:uid="{A7C844BD-D6E6-486E-A21C-8A1F089DF2FB}" name="Cadena" dataDxfId="75"/>
    <tableColumn id="2" xr3:uid="{EB91BD9E-0D03-4ADF-B605-9BA33738CA57}" name="Eestlane" dataDxfId="74"/>
    <tableColumn id="3" xr3:uid="{92E5B346-B2CE-44C9-961F-E30FD6490FA7}" name="English" dataDxfId="73"/>
    <tableColumn id="4" xr3:uid="{87D3575F-CCAA-498A-B485-9B9A0B2B61EF}" name="Español" dataDxfId="72"/>
    <tableColumn id="5" xr3:uid="{72186E95-4159-481C-BF0E-83A1D2E0CCC3}" name="Galego" dataDxfId="71">
      <calculatedColumnFormula>tabIdiomas[[#This Row],[Cadena]]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2D6E80-6BA4-4EF7-B6E9-24B8E7A3431D}" name="tabRespPreg1" displayName="tabRespPreg1" ref="A2:B5" totalsRowShown="0">
  <autoFilter ref="A2:B5" xr:uid="{662D6E80-6BA4-4EF7-B6E9-24B8E7A3431D}"/>
  <tableColumns count="2">
    <tableColumn id="1" xr3:uid="{014B6B41-FB35-4A4E-BD8B-06774892E558}" name="Respuestas Pregunta"/>
    <tableColumn id="2" xr3:uid="{96E45F94-07EB-401A-B259-85E4FAFA61F7}" name="Opciones mostradas" dataDxfId="70">
      <calculatedColumnFormula>VLOOKUP(tabRespPreg1[[#This Row],[Respuestas Pregunta]],tabIdiomas[],MATCH('General Hipotheses (INTRO)'!$D$2,tabIdiomas[#Headers],0),FALSE)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000142-00FC-4DD5-BD27-5D480C4FF1C5}" name="tabRespPreg2" displayName="tabRespPreg2" ref="C2:D3" totalsRowShown="0">
  <autoFilter ref="C2:D3" xr:uid="{60000142-00FC-4DD5-BD27-5D480C4FF1C5}"/>
  <tableColumns count="2">
    <tableColumn id="1" xr3:uid="{E9FFD5AD-0325-4361-B0BB-0D62DCDDE029}" name="Respuestas Pregunta"/>
    <tableColumn id="2" xr3:uid="{59F2A18D-94C2-4A64-8FEF-B09B448909B6}" name="Opciones mostradas" dataDxfId="69">
      <calculatedColumnFormula>VLOOKUP(tabRespPreg2[[#This Row],[Respuestas Pregunta]],tabIdiomas[],MATCH('General Hipotheses (INTRO)'!$D$2,tabIdiomas[#Headers],0),FALSE)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059716-FE1E-48DF-A9F6-CFDDD800B6F4}" name="tabRespPreg24_1" displayName="tabRespPreg24_1" ref="E2:F6" totalsRowShown="0">
  <autoFilter ref="E2:F6" xr:uid="{82059716-FE1E-48DF-A9F6-CFDDD800B6F4}"/>
  <tableColumns count="2">
    <tableColumn id="1" xr3:uid="{8EBC15D3-108A-4DFB-A9B7-AC0BEF9DF569}" name="Respuestas Pregunta"/>
    <tableColumn id="2" xr3:uid="{119AB191-E759-4536-9649-FB20FF92176A}" name="Opciones mostradas" dataDxfId="68">
      <calculatedColumnFormula>VLOOKUP(tabRespPreg24_1[[#This Row],[Respuestas Pregunta]],tabIdiomas[],MATCH('General Hipotheses (INTRO)'!$D$2,tabIdiomas[#Headers],0),FALSE)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7D0DD-346F-4EE1-A293-9DA1A2ACD142}" name="tabRespPreg15" displayName="tabRespPreg15" ref="G2:H4" totalsRowShown="0">
  <autoFilter ref="G2:H4" xr:uid="{0627D0DD-346F-4EE1-A293-9DA1A2ACD142}"/>
  <tableColumns count="2">
    <tableColumn id="1" xr3:uid="{BE9F0248-626F-48B0-A14A-DE3D55338A30}" name="Respuestas Pregunta"/>
    <tableColumn id="2" xr3:uid="{8FCA7B8B-F1A8-42C2-8101-804CE70003F2}" name="Opciones mostradas" dataDxfId="67">
      <calculatedColumnFormula>VLOOKUP(tabRespPreg15[[#This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26475F-7C7A-49DF-B1B4-730AC5EA0C69}" name="tabRespPreg156" displayName="tabRespPreg156" ref="I2:J4" totalsRowShown="0">
  <autoFilter ref="I2:J4" xr:uid="{4826475F-7C7A-49DF-B1B4-730AC5EA0C69}"/>
  <tableColumns count="2">
    <tableColumn id="1" xr3:uid="{29FC7F94-B7CA-46C7-B2CF-F8D381BD162B}" name="Respuestas Pregunta"/>
    <tableColumn id="2" xr3:uid="{5F77F619-29B0-4F5E-B932-B565C4640D48}" name="Opciones mostradas" dataDxfId="66">
      <calculatedColumnFormula>VLOOKUP(tabRespPreg156[[#This Row],[Respuestas Pregunta]],tabIdiomas[],MATCH('General Hipotheses (INTRO)'!$D$2,tabIdiomas[#Headers],0),FALSE)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EAEFFD-825D-4EE2-B85F-D131F6FA4A23}" name="tabRespPreg1568" displayName="tabRespPreg1568" ref="K2:L4" totalsRowShown="0">
  <autoFilter ref="K2:L4" xr:uid="{7CEAEFFD-825D-4EE2-B85F-D131F6FA4A23}"/>
  <tableColumns count="2">
    <tableColumn id="1" xr3:uid="{0274483E-2367-489C-8C5E-D412265F9546}" name="Respuestas Pregunta"/>
    <tableColumn id="2" xr3:uid="{E40E8153-51AE-4C51-AAF6-F38C67E2FF9F}" name="Opciones mostradas" dataDxfId="65">
      <calculatedColumnFormula>VLOOKUP(tabRespPreg1568[[#This Row],[Respuestas Pregunta]],tabIdiomas[],MATCH('General Hipotheses (INTRO)'!$D$2,tabIdiomas[#Headers],0),FALSE)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7E21C3-94BE-451A-A324-7500B9C7399A}" name="tabRespPreg1510" displayName="tabRespPreg1510" ref="M2:N4" totalsRowShown="0">
  <autoFilter ref="M2:N4" xr:uid="{917E21C3-94BE-451A-A324-7500B9C7399A}"/>
  <tableColumns count="2">
    <tableColumn id="1" xr3:uid="{5F0B5DA5-6091-43E6-A533-DC8C56C1C9EE}" name="Respuestas Pregunta"/>
    <tableColumn id="2" xr3:uid="{DFB352EA-4096-4FD5-B5DE-A6049298F508}" name="Opciones mostradas" dataDxfId="64">
      <calculatedColumnFormula>VLOOKUP(tabRespPreg1510[[#This Row],[Respuestas Pregunta]],tabIdiomas[],MATCH('General Hipotheses (INTRO)'!$D$2,tabIdiomas[#Headers],0),FALSE)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E6E998-40E9-4521-9255-B165559D58FC}" name="tabRespPreg112" displayName="tabRespPreg112" ref="O2:P5" totalsRowShown="0">
  <autoFilter ref="O2:P5" xr:uid="{5AE6E998-40E9-4521-9255-B165559D58FC}"/>
  <tableColumns count="2">
    <tableColumn id="1" xr3:uid="{91A1665E-670D-4417-B208-559593874366}" name="Respuestas Pregunta"/>
    <tableColumn id="2" xr3:uid="{857A28CE-2470-492F-B0BC-743F545B26ED}" name="Opciones mostradas" dataDxfId="63">
      <calculatedColumnFormula>VLOOKUP(tabRespPreg112[[#This Row],[Respuestas Pregunta]],tabIdiomas[],MATCH('General Hipotheses (INTRO)'!$D$2,tabIdiomas[#Headers],0),FALSE)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EEDFBE8-FF1B-44D2-8486-074303068E68}" name="tabRespPreg151013" displayName="tabRespPreg151013" ref="Q2:R4" totalsRowShown="0">
  <autoFilter ref="Q2:R4" xr:uid="{3EEDFBE8-FF1B-44D2-8486-074303068E68}"/>
  <tableColumns count="2">
    <tableColumn id="1" xr3:uid="{090DE4E1-6328-4301-9FB9-CED1B2C7E75F}" name="Respuestas Pregunta"/>
    <tableColumn id="2" xr3:uid="{DD9EBBF3-7DA6-4F0D-B7CB-3C9D578B635D}" name="Opciones mostradas" dataDxfId="62">
      <calculatedColumnFormula>VLOOKUP(tabRespPreg151013[[#This Row],[Respuestas Pregunta]],tabIdiomas[],MATCH('General Hipotheses (INTRO)'!$D$2,tabIdiomas[#Headers],0),FALSE)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FA60D3-7C4A-44AC-943C-8EFC8F164094}" name="tabRespPreg15101314" displayName="tabRespPreg15101314" ref="S2:T4" totalsRowShown="0">
  <autoFilter ref="S2:T4" xr:uid="{43FA60D3-7C4A-44AC-943C-8EFC8F164094}"/>
  <tableColumns count="2">
    <tableColumn id="1" xr3:uid="{A8E2B471-4699-4D5C-8AA8-5A4BF0EF4AC7}" name="Respuestas Pregunta"/>
    <tableColumn id="2" xr3:uid="{2AB2AE92-96C0-4AC3-B18E-28CCAE77ADDE}" name="Opciones mostradas" dataDxfId="61">
      <calculatedColumnFormula>VLOOKUP(tabRespPreg15101314[[#This Row],[Respuestas Pregunta]],tabIdiomas[],MATCH('General Hipotheses (INTRO)'!$D$2,tabIdiomas[#Headers],0),FALSE)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FB4B85-B6D3-4D6D-90D9-7660D1C7E062}" name="tabRespPreg1510131415" displayName="tabRespPreg1510131415" ref="U2:V4" totalsRowShown="0">
  <autoFilter ref="U2:V4" xr:uid="{0FFB4B85-B6D3-4D6D-90D9-7660D1C7E062}"/>
  <tableColumns count="2">
    <tableColumn id="1" xr3:uid="{4CE5B347-6C55-498E-8770-A7EBBA1189E8}" name="Respuestas Pregunta"/>
    <tableColumn id="2" xr3:uid="{D5CAF9E4-5F0F-4EFE-92C3-34630DEFDF3C}" name="Opciones mostradas" dataDxfId="60">
      <calculatedColumnFormula>VLOOKUP(tabRespPreg1510131415[[#This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2E3F59E-C1FC-461E-8AA0-22E1575ED0CC}" name="tabRespPreg1510131416" displayName="tabRespPreg1510131416" ref="W2:X4" totalsRowShown="0">
  <autoFilter ref="W2:X4" xr:uid="{D2E3F59E-C1FC-461E-8AA0-22E1575ED0CC}"/>
  <tableColumns count="2">
    <tableColumn id="1" xr3:uid="{CE60F734-44A6-4ECB-BFC4-80545F97ECB4}" name="Respuestas Pregunta"/>
    <tableColumn id="2" xr3:uid="{E033B153-E9C2-4FD2-898A-53BB867D36A8}" name="Opciones mostradas" dataDxfId="59">
      <calculatedColumnFormula>VLOOKUP(tabRespPreg1510131416[[#This Row],[Respuestas Pregunta]],tabIdiomas[],MATCH('General Hipotheses (INTRO)'!$D$2,tabIdiomas[#Headers],0),FALSE)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F72E97-79D0-4574-97CB-C7CF2C55B896}" name="tabRespPreg15101314169" displayName="tabRespPreg15101314169" ref="Y2:Z4" totalsRowShown="0">
  <autoFilter ref="Y2:Z4" xr:uid="{DBF72E97-79D0-4574-97CB-C7CF2C55B896}"/>
  <tableColumns count="2">
    <tableColumn id="1" xr3:uid="{4BA4ED1E-367F-4E78-8686-E593AB601B26}" name="Respuestas Pregunta"/>
    <tableColumn id="2" xr3:uid="{7A7EFAD4-A6F7-4190-8EA3-CABBE1B23CBE}" name="Opciones mostradas" dataDxfId="58">
      <calculatedColumnFormula>VLOOKUP(tabRespPreg15101314169[[#This Row],[Respuestas Pregunta]],tabIdiomas[],MATCH('General Hipotheses (INTRO)'!$D$2,tabIdiomas[#Headers],0),FALSE)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F9763B-27A4-48BD-8DEF-0BE3092A71A2}" name="tabRespPreg151013141611" displayName="tabRespPreg151013141611" ref="AA2:AB4" totalsRowShown="0">
  <autoFilter ref="AA2:AB4" xr:uid="{50F9763B-27A4-48BD-8DEF-0BE3092A71A2}"/>
  <tableColumns count="2">
    <tableColumn id="1" xr3:uid="{D62C12DA-A922-445F-A1D6-DE5ADA0BB082}" name="Respuestas Pregunta"/>
    <tableColumn id="2" xr3:uid="{45535CB1-B590-47A8-B08D-816B670ADCFB}" name="Opciones mostradas" dataDxfId="57">
      <calculatedColumnFormula>VLOOKUP(tabRespPreg151013141611[[#This Row],[Respuestas Pregunta]],tabIdiomas[],MATCH('General Hipotheses (INTRO)'!$D$2,tabIdiomas[#Headers],0),FALSE)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DCDD57B-A6B7-451C-AE7F-19B0AE2BDC23}" name="tabRespPreg15101314161117" displayName="tabRespPreg15101314161117" ref="AC2:AD4" totalsRowShown="0">
  <autoFilter ref="AC2:AD4" xr:uid="{6DCDD57B-A6B7-451C-AE7F-19B0AE2BDC23}"/>
  <tableColumns count="2">
    <tableColumn id="1" xr3:uid="{736D5042-8A9B-4B3A-87BF-C48445A9732F}" name="Respuestas Pregunta"/>
    <tableColumn id="2" xr3:uid="{48718249-410C-4559-B0F9-E210802CAE49}" name="Opciones mostradas" dataDxfId="56">
      <calculatedColumnFormula>VLOOKUP(tabRespPreg15101314161117[[#This Row],[Respuestas Pregunta]],tabIdiomas[],MATCH('General Hipotheses (INTRO)'!$D$2,tabIdiomas[#Headers],0),FALSE)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9F2C99B-89A2-4761-82B0-713FDFBF5240}" name="tabRespPreg1510131416111718" displayName="tabRespPreg1510131416111718" ref="AE2:AF4" totalsRowShown="0">
  <autoFilter ref="AE2:AF4" xr:uid="{29F2C99B-89A2-4761-82B0-713FDFBF5240}"/>
  <tableColumns count="2">
    <tableColumn id="1" xr3:uid="{7BD6D8B4-2812-4D76-BD60-1AA37AE2EE54}" name="Respuestas Pregunta"/>
    <tableColumn id="2" xr3:uid="{D5E71468-FBD9-4D30-9068-312F3E66D7E5}" name="Opciones mostradas" dataDxfId="55">
      <calculatedColumnFormula>VLOOKUP(tabRespPreg1510131416111718[[#This Row],[Respuestas Pregunta]],tabIdiomas[],MATCH('General Hipotheses (INTRO)'!$D$2,tabIdiomas[#Headers],0),FALSE)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6AAA48C-E85C-4417-B240-0CEC8E61B3D7}" name="tabRespPreg151013141620" displayName="tabRespPreg151013141620" ref="AG2:AH4" totalsRowShown="0">
  <autoFilter ref="AG2:AH4" xr:uid="{D6AAA48C-E85C-4417-B240-0CEC8E61B3D7}"/>
  <tableColumns count="2">
    <tableColumn id="1" xr3:uid="{9068022E-27F1-40CF-BB95-8177970737EB}" name="Respuestas Pregunta"/>
    <tableColumn id="2" xr3:uid="{5BF9D7B4-14F9-46E6-A5C9-20E9C640E32C}" name="Opciones mostradas" dataDxfId="54">
      <calculatedColumnFormula>VLOOKUP(tabRespPreg151013141620[[#This Row],[Respuestas Pregunta]],tabIdiomas[],MATCH('General Hipotheses (INTRO)'!$D$2,tabIdiomas[#Headers],0),FALSE)</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7C4AA5-3545-4849-B36D-35A09F6B2446}" name="tabRespPreg151013141611171819" displayName="tabRespPreg151013141611171819" ref="AI2:AJ4" totalsRowShown="0">
  <autoFilter ref="AI2:AJ4" xr:uid="{3F7C4AA5-3545-4849-B36D-35A09F6B2446}"/>
  <tableColumns count="2">
    <tableColumn id="1" xr3:uid="{FB149729-505B-433F-9332-2D9AB2C204A0}" name="Respuestas Pregunta"/>
    <tableColumn id="2" xr3:uid="{784E7910-D882-4F2D-B31D-8EA8CD1BA51D}" name="Opciones mostradas" dataDxfId="53">
      <calculatedColumnFormula>VLOOKUP(tabRespPreg151013141611171819[[#This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6A6A3F1-3C04-4D36-BC65-EB891A1888F8}" name="tabRespPreg15101314161117181921" displayName="tabRespPreg15101314161117181921" ref="AK2:AL4" totalsRowShown="0">
  <autoFilter ref="AK2:AL4" xr:uid="{86A6A3F1-3C04-4D36-BC65-EB891A1888F8}"/>
  <tableColumns count="2">
    <tableColumn id="1" xr3:uid="{81C2DEAC-D658-42AA-BDE3-E73B2C9A8369}" name="Respuestas Pregunta"/>
    <tableColumn id="2" xr3:uid="{96421E0A-080F-4708-AC48-55B92A5FA0E6}" name="Opciones mostradas" dataDxfId="52">
      <calculatedColumnFormula>VLOOKUP(tabRespPreg15101314161117181921[[#This Row],[Respuestas Pregunta]],tabIdiomas[],MATCH('General Hipotheses (INTRO)'!$D$2,tabIdiomas[#Headers],0),FALSE)</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79C4C50-5B72-46AF-A315-D1E77B1A81AA}" name="tabRespPreg1510131416111718192122" displayName="tabRespPreg1510131416111718192122" ref="AM2:AN4" totalsRowShown="0">
  <autoFilter ref="AM2:AN4" xr:uid="{679C4C50-5B72-46AF-A315-D1E77B1A81AA}"/>
  <tableColumns count="2">
    <tableColumn id="1" xr3:uid="{CC998FBB-1B74-4EC2-9A35-972BE4E05C93}" name="Respuestas Pregunta"/>
    <tableColumn id="2" xr3:uid="{AFE4AAF7-45CE-4F47-8406-0D71B3F64927}" name="Opciones mostradas" dataDxfId="51">
      <calculatedColumnFormula>VLOOKUP(tabRespPreg1510131416111718192122[[#This Row],[Respuestas Pregunta]],tabIdiomas[],MATCH('General Hipotheses (INTRO)'!$D$2,tabIdiomas[#Headers],0),FALSE)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F7E8EF3-8295-43B8-9B1E-58C05AAF8F8B}" name="tabRespPreg151013141611171819212223" displayName="tabRespPreg151013141611171819212223" ref="AO2:AP4" totalsRowShown="0">
  <autoFilter ref="AO2:AP4" xr:uid="{8F7E8EF3-8295-43B8-9B1E-58C05AAF8F8B}"/>
  <tableColumns count="2">
    <tableColumn id="1" xr3:uid="{A9658846-FC15-4D8F-A5D6-6C72A7D9AAA8}" name="Respuestas Pregunta"/>
    <tableColumn id="2" xr3:uid="{EFDE4F35-90ED-43DA-B8CB-844165668F30}" name="Opciones mostradas" dataDxfId="50">
      <calculatedColumnFormula>VLOOKUP(tabRespPreg151013141611171819212223[[#This Row],[Respuestas Pregunta]],tabIdiomas[],MATCH('General Hipotheses (INTRO)'!$D$2,tabIdiomas[#Headers],0),FALSE)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C7A8519-BD9D-48C2-8622-183E44D8F1A7}" name="tabRespPreg15101314161117181921222324" displayName="tabRespPreg15101314161117181921222324" ref="AQ2:AR4" totalsRowShown="0">
  <autoFilter ref="AQ2:AR4" xr:uid="{CC7A8519-BD9D-48C2-8622-183E44D8F1A7}"/>
  <tableColumns count="2">
    <tableColumn id="1" xr3:uid="{7A977FD8-D8D4-46EC-ADF3-F443B06F9A54}" name="Respuestas Pregunta"/>
    <tableColumn id="2" xr3:uid="{301702BB-833E-4E4E-8C7D-1A0267C477BD}" name="Opciones mostradas" dataDxfId="49">
      <calculatedColumnFormula>VLOOKUP(tabRespPreg15101314161117181921222324[[#This Row],[Respuestas Pregunta]],tabIdiomas[],MATCH('General Hipotheses (INTRO)'!$D$2,tabIdiomas[#Headers],0),FALSE)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A4A69E5-7263-4B8C-954C-C9F9BCDC0F1E}" name="tabRespPreg1510131416111718192122232425" displayName="tabRespPreg1510131416111718192122232425" ref="AS2:AT4" totalsRowShown="0">
  <autoFilter ref="AS2:AT4" xr:uid="{2A4A69E5-7263-4B8C-954C-C9F9BCDC0F1E}"/>
  <tableColumns count="2">
    <tableColumn id="1" xr3:uid="{27EC6161-4DB1-4B7E-A594-4C2E65F32111}" name="Respuestas Pregunta"/>
    <tableColumn id="2" xr3:uid="{6E1D5A63-50E0-4E90-B5D8-08DB112EA023}" name="Opciones mostradas" dataDxfId="48">
      <calculatedColumnFormula>VLOOKUP(tabRespPreg1510131416111718192122232425[[#This Row],[Respuestas Pregunta]],tabIdiomas[],MATCH('General Hipotheses (INTRO)'!$D$2,tabIdiomas[#Headers],0),FALSE)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2DF42B5-FE5F-4649-8DDC-577E5D839C55}" name="tabRespPreg11227" displayName="tabRespPreg11227" ref="AU2:AV5" totalsRowShown="0">
  <autoFilter ref="AU2:AV5" xr:uid="{62DF42B5-FE5F-4649-8DDC-577E5D839C55}"/>
  <tableColumns count="2">
    <tableColumn id="1" xr3:uid="{172EA38A-9B76-4EC6-BAC3-10D14FF4CE7E}" name="Respuestas Pregunta"/>
    <tableColumn id="2" xr3:uid="{770753B7-CC36-4881-8EE0-74A60A717BDE}" name="Opciones mostradas" dataDxfId="47">
      <calculatedColumnFormula>VLOOKUP(tabRespPreg11227[[#This Row],[Respuestas Pregunta]],tabIdiomas[],MATCH('General Hipotheses (INTRO)'!$D$2,tabIdiomas[#Headers],0),FALSE)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2519298-348A-461E-80DB-8A59D95BE134}" name="tabRespPreg151013141611171819212223242528" displayName="tabRespPreg151013141611171819212223242528" ref="AW2:AX4" totalsRowShown="0">
  <autoFilter ref="AW2:AX4" xr:uid="{B2519298-348A-461E-80DB-8A59D95BE134}"/>
  <tableColumns count="2">
    <tableColumn id="1" xr3:uid="{59B46896-D8E7-488C-A61A-3DD1F8F4B602}" name="Respuestas Pregunta"/>
    <tableColumn id="2" xr3:uid="{3775640E-B66C-4A7E-9531-06D18FBFF3FE}" name="Opciones mostradas" dataDxfId="46">
      <calculatedColumnFormula>VLOOKUP(tabRespPreg151013141611171819212223242528[[#This Row],[Respuestas Pregunta]],tabIdiomas[],MATCH('General Hipotheses (INTRO)'!$D$2,tabIdiomas[#Headers],0),FALSE)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676A0D1-292C-416F-891A-2DF6166E6462}" name="tabRespPreg1122729" displayName="tabRespPreg1122729" ref="AY2:AZ5" totalsRowShown="0">
  <autoFilter ref="AY2:AZ5" xr:uid="{C676A0D1-292C-416F-891A-2DF6166E6462}"/>
  <tableColumns count="2">
    <tableColumn id="1" xr3:uid="{EA237868-4490-412B-A1BC-45C0A5DFF163}" name="Respuestas Pregunta"/>
    <tableColumn id="2" xr3:uid="{819FD1D5-3A6E-45C6-8CF0-A0EB3FBBE72B}" name="Opciones mostradas" dataDxfId="45">
      <calculatedColumnFormula>VLOOKUP(tabRespPreg1122729[[#This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D72981-24E9-4604-9CFA-421BB5FEFEC7}" name="tabIdiomas26" displayName="tabIdiomas26" ref="A1:E373" totalsRowShown="0" dataDxfId="44">
  <autoFilter ref="A1:E373" xr:uid="{84D78FA9-9C8C-4750-99C7-5BBB211CA8B5}"/>
  <tableColumns count="5">
    <tableColumn id="1" xr3:uid="{DCC7C995-955F-4CA0-8C8D-1D6B8D4D309C}" name="Cadena" dataDxfId="43"/>
    <tableColumn id="2" xr3:uid="{2D3DAC56-AC8D-4CB9-803A-7FE169B4C541}" name="Eestlane" dataDxfId="42"/>
    <tableColumn id="3" xr3:uid="{9974A578-E916-474C-80CD-0F18B7C65412}" name="English" dataDxfId="41"/>
    <tableColumn id="4" xr3:uid="{47102534-3D25-4288-AAA2-A117704634E0}" name="Español" dataDxfId="40"/>
    <tableColumn id="5" xr3:uid="{8ED57905-E4E9-4D6F-95AC-ED9819ECF080}" name="Galego" dataDxfId="39">
      <calculatedColumnFormula>tabIdiomas26[[#This Row],[Cadena]]</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B96772-EB1B-4783-BBEC-DCACAA90CD49}" name="tabRespPreg130" displayName="tabRespPreg130" ref="A2:B5" totalsRowShown="0">
  <autoFilter ref="A2:B5" xr:uid="{662D6E80-6BA4-4EF7-B6E9-24B8E7A3431D}"/>
  <tableColumns count="2">
    <tableColumn id="1" xr3:uid="{20CB834C-A970-44A7-92F1-B63001927E52}" name="Respuestas Pregunta"/>
    <tableColumn id="2" xr3:uid="{5482AA8C-C8A2-4DAC-8501-BBF8DC718689}" name="Opciones mostradas" dataDxfId="38">
      <calculatedColumnFormula>VLOOKUP(tabRespPreg130[[#This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63DD36B-E0DE-410A-AE61-1E8B2E79D16D}" name="tabRespPreg231" displayName="tabRespPreg231" ref="C2:D3" totalsRowShown="0">
  <autoFilter ref="C2:D3" xr:uid="{60000142-00FC-4DD5-BD27-5D480C4FF1C5}"/>
  <tableColumns count="2">
    <tableColumn id="1" xr3:uid="{F7C9AE5C-A24A-42CC-94AB-51D5DC7A9E62}" name="Respuestas Pregunta"/>
    <tableColumn id="2" xr3:uid="{1F7F6C21-E985-4C5D-BB62-E6B797C2442A}" name="Opciones mostradas" dataDxfId="37">
      <calculatedColumnFormula>VLOOKUP(tabRespPreg231[[#This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6ACBD59-C697-4713-8C53-63B402909476}" name="tabRespPreg24_132" displayName="tabRespPreg24_132" ref="E2:F6" totalsRowShown="0">
  <autoFilter ref="E2:F6" xr:uid="{82059716-FE1E-48DF-A9F6-CFDDD800B6F4}"/>
  <tableColumns count="2">
    <tableColumn id="1" xr3:uid="{6A396697-5C57-4152-BF82-EF8B47393F1A}" name="Respuestas Pregunta"/>
    <tableColumn id="2" xr3:uid="{7BAF8115-6558-410D-8D40-5FF06B7FECDF}" name="Opciones mostradas" dataDxfId="36">
      <calculatedColumnFormula>VLOOKUP(tabRespPreg24_132[[#This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F984002-B271-47C3-B949-C2F74A9AE834}" name="tabRespPreg1533" displayName="tabRespPreg1533" ref="G2:H4" totalsRowShown="0">
  <autoFilter ref="G2:H4" xr:uid="{0627D0DD-346F-4EE1-A293-9DA1A2ACD142}"/>
  <tableColumns count="2">
    <tableColumn id="1" xr3:uid="{A3CC15B8-F203-4CAB-9377-970CD12165BD}" name="Respuestas Pregunta"/>
    <tableColumn id="2" xr3:uid="{2049CE3E-7BBC-4EB3-8938-57ECBD84CF3C}" name="Opciones mostradas" dataDxfId="35">
      <calculatedColumnFormula>VLOOKUP(tabRespPreg1533[[#This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6C85F6F-B78D-425B-9B99-6A2B58607A63}" name="tabRespPreg15634" displayName="tabRespPreg15634" ref="I2:J4" totalsRowShown="0">
  <autoFilter ref="I2:J4" xr:uid="{4826475F-7C7A-49DF-B1B4-730AC5EA0C69}"/>
  <tableColumns count="2">
    <tableColumn id="1" xr3:uid="{4635B601-9C7D-4C27-9EAC-88533560C8A3}" name="Respuestas Pregunta"/>
    <tableColumn id="2" xr3:uid="{FC5124D5-6617-4FC8-A157-B3BA020ADCED}" name="Opciones mostradas" dataDxfId="34">
      <calculatedColumnFormula>VLOOKUP(tabRespPreg15634[[#This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FBE2A82-F857-44C3-9330-2394469E21FB}" name="tabRespPreg156835" displayName="tabRespPreg156835" ref="K2:L4" totalsRowShown="0">
  <autoFilter ref="K2:L4" xr:uid="{7CEAEFFD-825D-4EE2-B85F-D131F6FA4A23}"/>
  <tableColumns count="2">
    <tableColumn id="1" xr3:uid="{D5B1D31A-76E3-44C9-B437-7FA82FE23361}" name="Respuestas Pregunta"/>
    <tableColumn id="2" xr3:uid="{288AC7CB-9E4A-4587-A201-0BB74DF0A7B0}" name="Opciones mostradas" dataDxfId="33">
      <calculatedColumnFormula>VLOOKUP(tabRespPreg156835[[#This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5CEEC98-7F39-4239-BAC5-1337D3939F8C}" name="tabRespPreg151036" displayName="tabRespPreg151036" ref="M2:N4" totalsRowShown="0">
  <autoFilter ref="M2:N4" xr:uid="{917E21C3-94BE-451A-A324-7500B9C7399A}"/>
  <tableColumns count="2">
    <tableColumn id="1" xr3:uid="{FFB18BBC-E285-43AD-80A8-F3425FCA16F5}" name="Respuestas Pregunta"/>
    <tableColumn id="2" xr3:uid="{14A50ED4-DE0D-4A40-A5CE-DB48FF41070D}" name="Opciones mostradas" dataDxfId="32">
      <calculatedColumnFormula>VLOOKUP(tabRespPreg151036[[#This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FE0A435-2DB0-4AB9-9699-EF43176CEA1A}" name="tabRespPreg11237" displayName="tabRespPreg11237" ref="O2:P5" totalsRowShown="0">
  <autoFilter ref="O2:P5" xr:uid="{5AE6E998-40E9-4521-9255-B165559D58FC}"/>
  <tableColumns count="2">
    <tableColumn id="1" xr3:uid="{C6047133-CBC7-4D78-9B5A-595AB2262566}" name="Respuestas Pregunta"/>
    <tableColumn id="2" xr3:uid="{F4BD95BA-51A6-4F62-BA68-116B8E867627}" name="Opciones mostradas" dataDxfId="31">
      <calculatedColumnFormula>VLOOKUP(tabRespPreg11237[[#This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E5A4ACB-AB8B-470C-A34D-2B463473447A}" name="tabRespPreg15101338" displayName="tabRespPreg15101338" ref="Q2:R4" totalsRowShown="0">
  <autoFilter ref="Q2:R4" xr:uid="{3EEDFBE8-FF1B-44D2-8486-074303068E68}"/>
  <tableColumns count="2">
    <tableColumn id="1" xr3:uid="{596CBAE5-EF29-4690-A9C4-10F2FC6DAAD6}" name="Respuestas Pregunta"/>
    <tableColumn id="2" xr3:uid="{2AAEE387-0019-4B09-8277-8F4694478E06}" name="Opciones mostradas" dataDxfId="30">
      <calculatedColumnFormula>VLOOKUP(tabRespPreg15101338[[#This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5374101-E35F-4EF4-9FF1-4C315EB97BEA}" name="tabRespPreg1510131439" displayName="tabRespPreg1510131439" ref="S2:T4" totalsRowShown="0">
  <autoFilter ref="S2:T4" xr:uid="{43FA60D3-7C4A-44AC-943C-8EFC8F164094}"/>
  <tableColumns count="2">
    <tableColumn id="1" xr3:uid="{42E2F411-1B69-41E7-B2D5-922C794E29F9}" name="Respuestas Pregunta"/>
    <tableColumn id="2" xr3:uid="{1239A9A2-8B9E-4F7E-AEC4-F299543B3FAE}" name="Opciones mostradas" dataDxfId="29">
      <calculatedColumnFormula>VLOOKUP(tabRespPreg1510131439[[#This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6677743-CDDE-423E-AE3E-BE3832EAEC93}" name="tabRespPreg151013141540" displayName="tabRespPreg151013141540" ref="U2:V4" totalsRowShown="0">
  <autoFilter ref="U2:V4" xr:uid="{0FFB4B85-B6D3-4D6D-90D9-7660D1C7E062}"/>
  <tableColumns count="2">
    <tableColumn id="1" xr3:uid="{76BD43EE-CC72-45DC-90A2-32FB507A64B8}" name="Respuestas Pregunta"/>
    <tableColumn id="2" xr3:uid="{281AD86E-3284-4EDE-BE98-E08AAD6996A3}" name="Opciones mostradas" dataDxfId="28">
      <calculatedColumnFormula>VLOOKUP(tabRespPreg151013141540[[#This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6CDD2A-2377-45B1-93FF-6BF8A03C8FD2}" name="tabRespPreg151013141641" displayName="tabRespPreg151013141641" ref="W2:X4" totalsRowShown="0">
  <autoFilter ref="W2:X4" xr:uid="{D2E3F59E-C1FC-461E-8AA0-22E1575ED0CC}"/>
  <tableColumns count="2">
    <tableColumn id="1" xr3:uid="{2D389D08-0519-44DF-AE68-A923C50330AF}" name="Respuestas Pregunta"/>
    <tableColumn id="2" xr3:uid="{647C6005-18C4-42B8-9B07-52177C26E48A}" name="Opciones mostradas" dataDxfId="27">
      <calculatedColumnFormula>VLOOKUP(tabRespPreg151013141641[[#This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5B81D3C-B925-4390-95DB-B873FDA310BC}" name="tabRespPreg1510131416942" displayName="tabRespPreg1510131416942" ref="Y2:Z4" totalsRowShown="0">
  <autoFilter ref="Y2:Z4" xr:uid="{DBF72E97-79D0-4574-97CB-C7CF2C55B896}"/>
  <tableColumns count="2">
    <tableColumn id="1" xr3:uid="{300D4235-1B78-4E4B-9833-14288E5487B6}" name="Respuestas Pregunta"/>
    <tableColumn id="2" xr3:uid="{3BE7AE53-735E-4E10-8BCA-71F437AAADB5}" name="Opciones mostradas" dataDxfId="26">
      <calculatedColumnFormula>VLOOKUP(tabRespPreg1510131416942[[#This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1DDA4FF-ADE0-4AD6-9A65-8E76D0F6A87A}" name="tabRespPreg15101314161143" displayName="tabRespPreg15101314161143" ref="AA2:AB4" totalsRowShown="0">
  <autoFilter ref="AA2:AB4" xr:uid="{50F9763B-27A4-48BD-8DEF-0BE3092A71A2}"/>
  <tableColumns count="2">
    <tableColumn id="1" xr3:uid="{C313C3B0-56BB-4834-A110-789012F4F8E6}" name="Respuestas Pregunta"/>
    <tableColumn id="2" xr3:uid="{39A22809-3D9E-4B39-B2E8-ADCABF739C36}" name="Opciones mostradas" dataDxfId="25">
      <calculatedColumnFormula>VLOOKUP(tabRespPreg15101314161143[[#This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37C99AC-49FA-4B6B-964F-DC5412C9F851}" name="tabRespPreg1510131416111744" displayName="tabRespPreg1510131416111744" ref="AC2:AD4" totalsRowShown="0">
  <autoFilter ref="AC2:AD4" xr:uid="{6DCDD57B-A6B7-451C-AE7F-19B0AE2BDC23}"/>
  <tableColumns count="2">
    <tableColumn id="1" xr3:uid="{F9DFA089-ECC3-4A2F-A066-907185C9C2A5}" name="Respuestas Pregunta"/>
    <tableColumn id="2" xr3:uid="{86FE3959-E33F-4838-8376-192A40EEAF4A}" name="Opciones mostradas" dataDxfId="24">
      <calculatedColumnFormula>VLOOKUP(tabRespPreg1510131416111744[[#This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3EE35DA-3FEB-4E1D-B78F-D8B64AB9A5B5}" name="tabRespPreg151013141611171845" displayName="tabRespPreg151013141611171845" ref="AE2:AF4" totalsRowShown="0">
  <autoFilter ref="AE2:AF4" xr:uid="{29F2C99B-89A2-4761-82B0-713FDFBF5240}"/>
  <tableColumns count="2">
    <tableColumn id="1" xr3:uid="{76528E8C-1F12-4277-950F-E81A99338499}" name="Respuestas Pregunta"/>
    <tableColumn id="2" xr3:uid="{979A4CB4-F93E-41EC-BD6F-E6709A6867EB}" name="Opciones mostradas" dataDxfId="23">
      <calculatedColumnFormula>VLOOKUP(tabRespPreg151013141611171845[[#This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680D98C-90DD-4E53-BEF0-14AA5F178180}" name="tabRespPreg15101314162046" displayName="tabRespPreg15101314162046" ref="AG2:AH4" totalsRowShown="0">
  <autoFilter ref="AG2:AH4" xr:uid="{D6AAA48C-E85C-4417-B240-0CEC8E61B3D7}"/>
  <tableColumns count="2">
    <tableColumn id="1" xr3:uid="{7DFA0964-D1CA-445C-B557-286A5EEB59BD}" name="Respuestas Pregunta"/>
    <tableColumn id="2" xr3:uid="{8422AB3D-731D-4CCC-8FC9-BBCF05F826FE}" name="Opciones mostradas" dataDxfId="22">
      <calculatedColumnFormula>VLOOKUP(tabRespPreg15101314162046[[#This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85E2B92-4BFA-4205-9891-B003B77D7E5F}" name="tabRespPreg15101314161117181947" displayName="tabRespPreg15101314161117181947" ref="AI2:AJ4" totalsRowShown="0">
  <autoFilter ref="AI2:AJ4" xr:uid="{3F7C4AA5-3545-4849-B36D-35A09F6B2446}"/>
  <tableColumns count="2">
    <tableColumn id="1" xr3:uid="{FC968BE8-637E-426A-A932-162827142063}" name="Respuestas Pregunta"/>
    <tableColumn id="2" xr3:uid="{9882EF59-3C4E-4DBE-A17B-69FDE8734BC6}" name="Opciones mostradas" dataDxfId="21">
      <calculatedColumnFormula>VLOOKUP(tabRespPreg15101314161117181947[[#This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0093E1E-01F9-4C4E-9917-60DE424C5FDB}" name="tabRespPreg1510131416111718192148" displayName="tabRespPreg1510131416111718192148" ref="AK2:AL4" totalsRowShown="0">
  <autoFilter ref="AK2:AL4" xr:uid="{86A6A3F1-3C04-4D36-BC65-EB891A1888F8}"/>
  <tableColumns count="2">
    <tableColumn id="1" xr3:uid="{962FE722-236A-42FE-AE58-A651AD6347E3}" name="Respuestas Pregunta"/>
    <tableColumn id="2" xr3:uid="{5C2F6580-F52E-4F2D-91E5-D8672E30B850}" name="Opciones mostradas" dataDxfId="20">
      <calculatedColumnFormula>VLOOKUP(tabRespPreg1510131416111718192148[[#This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986594D-E54B-4D9D-AC63-61CBE6798F20}" name="tabRespPreg151013141611171819212249" displayName="tabRespPreg151013141611171819212249" ref="AM2:AN4" totalsRowShown="0">
  <autoFilter ref="AM2:AN4" xr:uid="{679C4C50-5B72-46AF-A315-D1E77B1A81AA}"/>
  <tableColumns count="2">
    <tableColumn id="1" xr3:uid="{87D8A269-7DBC-4841-A236-3625F9EB32A4}" name="Respuestas Pregunta"/>
    <tableColumn id="2" xr3:uid="{70DE756E-04A3-496A-9D8B-6CA57D1081E3}" name="Opciones mostradas" dataDxfId="19">
      <calculatedColumnFormula>VLOOKUP(tabRespPreg151013141611171819212249[[#This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8262427-DEFC-447C-8652-73E47FAEAAAA}" name="tabRespPreg15101314161117181921222350" displayName="tabRespPreg15101314161117181921222350" ref="AO2:AP4" totalsRowShown="0">
  <autoFilter ref="AO2:AP4" xr:uid="{8F7E8EF3-8295-43B8-9B1E-58C05AAF8F8B}"/>
  <tableColumns count="2">
    <tableColumn id="1" xr3:uid="{581F2D2F-7362-4C0F-890A-80B8272236B5}" name="Respuestas Pregunta"/>
    <tableColumn id="2" xr3:uid="{69D62834-5B3F-41E5-AA61-5D178A56D3C0}" name="Opciones mostradas" dataDxfId="18">
      <calculatedColumnFormula>VLOOKUP(tabRespPreg15101314161117181921222350[[#This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CDC72C5-66C0-4728-93FE-4CE7ABC7584E}" name="tabRespPreg1510131416111718192122232451" displayName="tabRespPreg1510131416111718192122232451" ref="AQ2:AR4" totalsRowShown="0">
  <autoFilter ref="AQ2:AR4" xr:uid="{CC7A8519-BD9D-48C2-8622-183E44D8F1A7}"/>
  <tableColumns count="2">
    <tableColumn id="1" xr3:uid="{CAA87A8F-DCDD-4BA9-821D-D6BCD320D9CE}" name="Respuestas Pregunta"/>
    <tableColumn id="2" xr3:uid="{B532879B-284D-4A65-B59F-BAA1FE763BB3}" name="Opciones mostradas" dataDxfId="17">
      <calculatedColumnFormula>VLOOKUP(tabRespPreg1510131416111718192122232451[[#This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ACA5525-AF35-4627-B385-79EB6396C8E4}" name="tabRespPreg151013141611171819212223242552" displayName="tabRespPreg151013141611171819212223242552" ref="AS2:AT4" totalsRowShown="0">
  <autoFilter ref="AS2:AT4" xr:uid="{2A4A69E5-7263-4B8C-954C-C9F9BCDC0F1E}"/>
  <tableColumns count="2">
    <tableColumn id="1" xr3:uid="{EAB1D0A0-97E9-4151-B950-D3D69DF6B10A}" name="Respuestas Pregunta"/>
    <tableColumn id="2" xr3:uid="{B3FDFA3B-0771-43E6-8932-5F110BDAC82C}" name="Opciones mostradas" dataDxfId="16">
      <calculatedColumnFormula>VLOOKUP(tabRespPreg151013141611171819212223242552[[#This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6965CCC-2FCC-46AE-9E04-29BB46A5B966}" name="tabRespPreg1122753" displayName="tabRespPreg1122753" ref="AU2:AV5" totalsRowShown="0">
  <autoFilter ref="AU2:AV5" xr:uid="{62DF42B5-FE5F-4649-8DDC-577E5D839C55}"/>
  <tableColumns count="2">
    <tableColumn id="1" xr3:uid="{CEB60C6E-8488-4FE5-BEED-05711F19D3C3}" name="Respuestas Pregunta"/>
    <tableColumn id="2" xr3:uid="{AFCC95E5-4430-4F4E-B09B-4D4CBE6EDA96}" name="Opciones mostradas" dataDxfId="15">
      <calculatedColumnFormula>VLOOKUP(tabRespPreg1122753[[#This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EACD5A9-C826-4F6B-BC56-F785724F588B}" name="tabRespPreg15101314161117181921222324252854" displayName="tabRespPreg15101314161117181921222324252854" ref="AW2:AX4" totalsRowShown="0">
  <autoFilter ref="AW2:AX4" xr:uid="{B2519298-348A-461E-80DB-8A59D95BE134}"/>
  <tableColumns count="2">
    <tableColumn id="1" xr3:uid="{923A9CCF-F9DD-477D-A7E5-840CE5D797BB}" name="Respuestas Pregunta"/>
    <tableColumn id="2" xr3:uid="{EF458626-EA5B-4073-8F8A-6D2FBD4CF1D9}" name="Opciones mostradas" dataDxfId="14">
      <calculatedColumnFormula>VLOOKUP(tabRespPreg15101314161117181921222324252854[[#This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62D457B-27BD-49E7-B875-8EC37890B98A}" name="tabRespPreg112272955" displayName="tabRespPreg112272955" ref="AY2:AZ5" totalsRowShown="0">
  <autoFilter ref="AY2:AZ5" xr:uid="{C676A0D1-292C-416F-891A-2DF6166E6462}"/>
  <tableColumns count="2">
    <tableColumn id="1" xr3:uid="{F2A8D4B7-70A7-4B8D-B1F6-B1F16D632694}" name="Respuestas Pregunta"/>
    <tableColumn id="2" xr3:uid="{D14541B3-E7F3-4CAF-996B-DA1676D5F82C}" name="Opciones mostradas" dataDxfId="13">
      <calculatedColumnFormula>VLOOKUP(tabRespPreg112272955[[#This Row],[Respuestas Pregunta]],tabIdiomas[#Data],MATCH('General Hipotheses (INTRO)'!$D$2,tabIdiomas[#Headers],0),FALSE)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5-08T09:52:07.82" personId="{346655D5-DAC3-42DB-8064-FCC30CB73D19}" id="{AF6D60E1-4E03-4460-84BE-620F63C96FDA}">
    <text>A superficie precisa para a instalación de corredores entre as instalacións de xeración colocadas sobre o terreo estímase en 0,5 m2 por cada dúas ringleiras de placas fotovoltaicas.</text>
  </threadedComment>
  <threadedComment ref="C20" dT="2024-05-08T10:25:35.73" personId="{346655D5-DAC3-42DB-8064-FCC30CB73D19}" id="{66A72542-B0D2-4553-A9E3-75032F9B36E1}">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30" dT="2024-04-22T07:03:59.41" personId="{346655D5-DAC3-42DB-8064-FCC30CB73D19}" id="{8E2F8832-64D3-4823-A9D7-8E5783A5AB1D}">
    <text>Valor de Referencia Aproximado: 0,50€/Mes.</text>
  </threadedComment>
  <threadedComment ref="B34" dT="2024-04-23T09:03:05.94" personId="{346655D5-DAC3-42DB-8064-FCC30CB73D19}" id="{5D6E1EF0-5F72-4E86-97C0-FCD885B7CE14}">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4-04-18T16:33:37.42" personId="{346655D5-DAC3-42DB-8064-FCC30CB73D19}" id="{D3BABB68-DF78-4851-B760-228452AD0F07}">
    <text>Reducimos as unidades de persoal ata 0,125 (1 hora ao día; 5 á semana) para atender ás labores propias da xestión da Comunidade.</text>
  </threadedComment>
  <threadedComment ref="D25" dT="2024-05-08T11:27:21.50" personId="{346655D5-DAC3-42DB-8064-FCC30CB73D19}" id="{A21065AE-FC24-41AD-9D6F-30F53E1CC08F}">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E60" dT="2024-02-29T08:34:43.82" personId="{9B6ABAFA-BF96-4687-8DDB-6850797B9550}" id="{E4204989-631F-44FB-AAEB-C483E076EB0C}">
    <text>Comprobar que pasa con CE con autoconsumo</text>
  </threadedComment>
  <threadedComment ref="E60" dT="2024-02-29T13:39:51.19" personId="{346655D5-DAC3-42DB-8064-FCC30CB73D19}" id="{E8343C3E-8839-4F57-A8C6-54FFC396025A}" parentId="{E4204989-631F-44FB-AAEB-C483E076EB0C}">
    <text>Vincúlase o valor da 'cota íntegra', no relativo á garantía, á necesidade ou non de prestación da mesma, que se incorpora como variable na Folla de Hipóteses Xerais e toma valor Si ou Non.</text>
  </threadedComment>
</ThreadedComments>
</file>

<file path=xl/threadedComments/threadedComment3.xml><?xml version="1.0" encoding="utf-8"?>
<ThreadedComments xmlns="http://schemas.microsoft.com/office/spreadsheetml/2018/threadedcomments" xmlns:x="http://schemas.openxmlformats.org/spreadsheetml/2006/main">
  <threadedComment ref="C65" dT="2024-05-08T10:13:33.40" personId="{346655D5-DAC3-42DB-8064-FCC30CB73D19}" id="{85799BD2-98EE-4D86-8FA7-0961506A16C7}">
    <text>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ext>
  </threadedComment>
</ThreadedComments>
</file>

<file path=xl/threadedComments/threadedComment4.xml><?xml version="1.0" encoding="utf-8"?>
<ThreadedComments xmlns="http://schemas.microsoft.com/office/spreadsheetml/2018/threadedcomments" xmlns:x="http://schemas.openxmlformats.org/spreadsheetml/2006/main">
  <threadedComment ref="C22" dT="2024-05-08T10:25:35.73" personId="{346655D5-DAC3-42DB-8064-FCC30CB73D19}" id="{7FE6A0A2-45F8-4442-BCFD-B3071ADEBE69}">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40" dT="2024-04-22T07:03:59.41" personId="{346655D5-DAC3-42DB-8064-FCC30CB73D19}" id="{1C5D4332-C543-42AE-B16A-673B17BB09F8}">
    <text>Valor de Referencia Aproximado: 0,50€/Mes.</text>
  </threadedComment>
  <threadedComment ref="F41" dT="2024-04-22T07:04:30.58" personId="{346655D5-DAC3-42DB-8064-FCC30CB73D19}" id="{228344A0-F520-4131-90D7-704FCC9F6E59}">
    <text>Valor de Referencia Aproximado: 2-3€/Mes.</text>
  </threadedComment>
  <threadedComment ref="I47" dT="2024-04-18T08:31:08.92" personId="{346655D5-DAC3-42DB-8064-FCC30CB73D19}" id="{93BD2D00-EAA6-4FA4-A468-A5E092BA38C1}">
    <text>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ext>
  </threadedComment>
  <threadedComment ref="G79" dT="2024-05-08T09:52:07.82" personId="{346655D5-DAC3-42DB-8064-FCC30CB73D19}" id="{BECC5EDE-84D6-4549-A4CA-3546773C297A}">
    <text>A superficie precisa para a instalación de corredores entre as instalacións de xeración colocadas sobre o terreo estímase en 0,5 m2 por cada dúas ringleiras de placas fotovoltaicas.</text>
  </threadedComment>
  <threadedComment ref="C84" dT="2024-04-18T06:54:07.80" personId="{346655D5-DAC3-42DB-8064-FCC30CB73D19}" id="{95BCE84C-69CE-415B-A985-331D4095F444}">
    <text>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ext>
  </threadedComment>
</ThreadedComments>
</file>

<file path=xl/threadedComments/threadedComment5.xml><?xml version="1.0" encoding="utf-8"?>
<ThreadedComments xmlns="http://schemas.microsoft.com/office/spreadsheetml/2018/threadedcomments" xmlns:x="http://schemas.openxmlformats.org/spreadsheetml/2006/main">
  <threadedComment ref="C65" dT="2024-05-08T10:13:33.40" personId="{346655D5-DAC3-42DB-8064-FCC30CB73D19}" id="{43567F22-9169-4FC6-8575-5EF1AA95E23A}">
    <text>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ext>
  </threadedComment>
</ThreadedComments>
</file>

<file path=xl/threadedComments/threadedComment6.xml><?xml version="1.0" encoding="utf-8"?>
<ThreadedComments xmlns="http://schemas.microsoft.com/office/spreadsheetml/2018/threadedcomments" xmlns:x="http://schemas.openxmlformats.org/spreadsheetml/2006/main">
  <threadedComment ref="D17" dT="2024-04-18T16:33:37.42" personId="{346655D5-DAC3-42DB-8064-FCC30CB73D19}" id="{634CB3CC-61A5-4619-8214-46F41242569A}">
    <text>Reducimos as unidades de persoal ata 0,125 (1 hora ao día; 5 á semana) para atender ás labores propias da xestión da Comunidade.</text>
  </threadedComment>
  <threadedComment ref="F17" dT="2024-04-19T09:40:55.11" personId="{346655D5-DAC3-42DB-8064-FCC30CB73D19}" id="{FD4ED7E5-987E-4F0F-8018-C07A5F0918E0}">
    <text>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ext>
  </threadedComment>
  <threadedComment ref="F18" dT="2024-04-19T09:41:55.70" personId="{346655D5-DAC3-42DB-8064-FCC30CB73D19}" id="{C3E7DECB-C399-473B-A47B-837B60038128}">
    <text>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ext>
  </threadedComment>
  <threadedComment ref="F19" dT="2024-04-19T09:46:08.24" personId="{346655D5-DAC3-42DB-8064-FCC30CB73D19}" id="{1A53A385-6C05-4498-B08D-FEAF6C7FBEED}">
    <text>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ext>
  </threadedComment>
  <threadedComment ref="F20" dT="2024-04-19T09:28:45.33" personId="{346655D5-DAC3-42DB-8064-FCC30CB73D19}" id="{CB03E789-53F0-4B71-A686-BB133CD9BE35}">
    <text>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ext>
  </threadedComment>
  <threadedComment ref="D23" dT="2024-04-19T09:23:43.05" personId="{346655D5-DAC3-42DB-8064-FCC30CB73D19}" id="{FA872BEC-2D23-4392-BC6E-323D0D39278E}">
    <text>Esta cela cumpliméntase automaticamente  en coherencia co que respecto da subcontratación das actividades de xestión se teña indicado en Hipóteses Xerais.</text>
  </threadedComment>
  <threadedComment ref="E31" dT="2024-05-08T11:27:21.50" personId="{346655D5-DAC3-42DB-8064-FCC30CB73D19}" id="{2B37EEA1-FFC5-4074-903E-B126AE48D469}">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F49" dT="2024-04-22T10:39:45.06" personId="{346655D5-DAC3-42DB-8064-FCC30CB73D19}" id="{64284664-C933-4D3C-B8D7-D097F3FFEA58}">
    <text>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ext>
  </threadedComment>
  <threadedComment ref="F50" dT="2024-04-22T10:36:58.77" personId="{346655D5-DAC3-42DB-8064-FCC30CB73D19}" id="{0C04CF11-AA30-467C-91C1-F1B84B496965}">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F51" dT="2024-04-22T10:38:00.54" personId="{346655D5-DAC3-42DB-8064-FCC30CB73D19}" id="{538CE0FC-39A9-4531-8395-A26599AAF46D}">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E54" dT="2024-04-19T09:21:35.10" personId="{346655D5-DAC3-42DB-8064-FCC30CB73D19}" id="{22AC481D-0AB7-40C1-BADC-DA1833E40F6E}">
    <text>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ext>
  </threadedComment>
  <threadedComment ref="F63" dT="2024-02-29T08:34:43.82" personId="{9B6ABAFA-BF96-4687-8DDB-6850797B9550}" id="{3A1C00E7-A9DC-496F-84EF-5B601AA74F05}">
    <text>Comprobar que pasa con CE con autoconsumo</text>
  </threadedComment>
  <threadedComment ref="F63" dT="2024-02-29T13:39:51.19" personId="{346655D5-DAC3-42DB-8064-FCC30CB73D19}" id="{071489EE-DE1B-49DA-A29B-1AC89E044A89}" parentId="{3A1C00E7-A9DC-496F-84EF-5B601AA74F05}">
    <text>Vincúlase o valor da 'cota íntegra', no relativo á garantía, á necesidade ou non de prestación da mesma, que se incorpora como variable na Folla de Hipóteses Xerais e toma valor Si ou Non.</text>
  </threadedComment>
</ThreadedComments>
</file>

<file path=xl/threadedComments/threadedComment7.xml><?xml version="1.0" encoding="utf-8"?>
<ThreadedComments xmlns="http://schemas.microsoft.com/office/spreadsheetml/2018/threadedcomments" xmlns:x="http://schemas.openxmlformats.org/spreadsheetml/2006/main">
  <threadedComment ref="E40" dT="2024-04-23T09:03:05.94" personId="{346655D5-DAC3-42DB-8064-FCC30CB73D19}" id="{1010FB83-9FDD-449D-875A-4941CC1E1C23}">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BF06F91-A4B1-4FB6-900F-644FF4527075}">
  <we:reference id="wa104381504" version="1.0.0.0" store="es-ES" storeType="OMEX"/>
  <we:alternateReferences>
    <we:reference id="wa104381504" version="1.0.0.0" store="wa104381504"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4" Type="http://schemas.microsoft.com/office/2017/10/relationships/threadedComment" Target="../threadedComments/threadedComment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4" Type="http://schemas.microsoft.com/office/2017/10/relationships/threadedComment" Target="../threadedComments/threadedComment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 Id="rId4" Type="http://schemas.microsoft.com/office/2017/10/relationships/threadedComment" Target="../threadedComments/threadedComment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26" Type="http://schemas.openxmlformats.org/officeDocument/2006/relationships/table" Target="../tables/table54.xml"/><Relationship Id="rId3" Type="http://schemas.openxmlformats.org/officeDocument/2006/relationships/table" Target="../tables/table31.xm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5" Type="http://schemas.openxmlformats.org/officeDocument/2006/relationships/table" Target="../tables/table53.xml"/><Relationship Id="rId2" Type="http://schemas.openxmlformats.org/officeDocument/2006/relationships/table" Target="../tables/table30.xm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table" Target="../tables/table29.xml"/><Relationship Id="rId6" Type="http://schemas.openxmlformats.org/officeDocument/2006/relationships/table" Target="../tables/table34.xml"/><Relationship Id="rId11" Type="http://schemas.openxmlformats.org/officeDocument/2006/relationships/table" Target="../tables/table39.xml"/><Relationship Id="rId24" Type="http://schemas.openxmlformats.org/officeDocument/2006/relationships/table" Target="../tables/table52.xml"/><Relationship Id="rId5" Type="http://schemas.openxmlformats.org/officeDocument/2006/relationships/table" Target="../tables/table33.xml"/><Relationship Id="rId15" Type="http://schemas.openxmlformats.org/officeDocument/2006/relationships/table" Target="../tables/table43.xml"/><Relationship Id="rId23" Type="http://schemas.openxmlformats.org/officeDocument/2006/relationships/table" Target="../tables/table51.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table" Target="../tables/table32.xml"/><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6E7E-587C-475F-AA96-568A66972F61}">
  <sheetPr>
    <tabColor theme="4" tint="0.79998168889431442"/>
    <pageSetUpPr fitToPage="1"/>
  </sheetPr>
  <dimension ref="A1:L80"/>
  <sheetViews>
    <sheetView topLeftCell="A15" zoomScale="90" zoomScaleNormal="90" workbookViewId="0">
      <selection activeCell="B27" sqref="B27"/>
    </sheetView>
  </sheetViews>
  <sheetFormatPr baseColWidth="10" defaultColWidth="11.44140625" defaultRowHeight="14.4" x14ac:dyDescent="0.3"/>
  <cols>
    <col min="2" max="2" width="48.44140625" customWidth="1"/>
    <col min="3" max="3" width="23.21875" customWidth="1"/>
    <col min="4" max="4" width="13.21875" bestFit="1" customWidth="1"/>
    <col min="5" max="5" width="35.21875" customWidth="1"/>
    <col min="6" max="6" width="15.5546875" customWidth="1"/>
    <col min="7" max="7" width="13.77734375" customWidth="1"/>
    <col min="8" max="8" width="44.21875" customWidth="1"/>
    <col min="9" max="9" width="19.21875" customWidth="1"/>
    <col min="10" max="10" width="19.44140625" customWidth="1"/>
  </cols>
  <sheetData>
    <row r="1" spans="2:12" ht="15" thickBot="1" x14ac:dyDescent="0.35">
      <c r="B1" s="1"/>
      <c r="C1" s="1"/>
      <c r="D1" s="1"/>
      <c r="E1" s="1"/>
      <c r="F1" s="1"/>
    </row>
    <row r="2" spans="2:12" ht="15.6" thickTop="1" thickBot="1" x14ac:dyDescent="0.35">
      <c r="B2" s="1"/>
      <c r="C2" s="229" t="str">
        <f>VLOOKUP("Lingua",tabIdiomas[],MATCH($D$2,tabIdiomas[#Headers]),FALSE)</f>
        <v>Language</v>
      </c>
      <c r="D2" s="230" t="str">
        <f>'General Real Data (Obs.)'!$G$2</f>
        <v>English</v>
      </c>
      <c r="E2" s="1"/>
      <c r="F2" s="1"/>
    </row>
    <row r="3" spans="2:12" ht="22.2" thickTop="1" thickBot="1" x14ac:dyDescent="0.35">
      <c r="B3" s="2" t="str">
        <f>VLOOKUP("Hipóteses Xerais",tabIdiomas[],MATCH($D$2,tabIdiomas[#Headers]),FALSE)</f>
        <v>General Hypotheses</v>
      </c>
      <c r="C3" s="1"/>
      <c r="D3" s="1"/>
      <c r="E3" s="1"/>
      <c r="F3" s="1"/>
    </row>
    <row r="4" spans="2:12" ht="22.2" thickTop="1" thickBot="1" x14ac:dyDescent="0.35">
      <c r="C4" s="2"/>
      <c r="D4" s="2"/>
      <c r="E4" s="127" t="str">
        <f>VLOOKUP("Emprazamento das Instalacións (Galicia)",tabIdiomas[],MATCH($D$2,tabIdiomas[#Headers]),FALSE)</f>
        <v>Facilities Location (Galicia)</v>
      </c>
      <c r="F4" s="66"/>
      <c r="H4" s="127" t="str">
        <f>VLOOKUP("Dispoñibilidade de Terreos para Emprazar as Instalacións",tabIdiomas[],MATCH($D$2,tabIdiomas[#Headers]),FALSE)</f>
        <v>Land Availability for Facilities Location</v>
      </c>
      <c r="I4" s="66"/>
    </row>
    <row r="5" spans="2:12" ht="15" thickTop="1" x14ac:dyDescent="0.3">
      <c r="B5" s="127" t="str">
        <f>VLOOKUP("Emprazamento das Instalacións (Xeral)",tabIdiomas[],MATCH($D$2,tabIdiomas[#Headers]),FALSE)</f>
        <v>Facilities Location (General)</v>
      </c>
      <c r="C5" s="66"/>
      <c r="D5" s="1"/>
      <c r="E5" s="93" t="str">
        <f>VLOOKUP("CC.AA.",tabIdiomas[],MATCH($D$2,tabIdiomas[#Headers]),FALSE)</f>
        <v>Region</v>
      </c>
      <c r="F5" s="140" t="s">
        <v>1</v>
      </c>
      <c r="H5" s="93" t="str">
        <f>VLOOKUP("Superficie de Terreo Dispoñible (m2)",tabIdiomas[],MATCH($D$2,tabIdiomas[#Headers]),FALSE)</f>
        <v>Land Surface Available (m2)</v>
      </c>
      <c r="I5" s="1726">
        <v>400</v>
      </c>
    </row>
    <row r="6" spans="2:12" ht="28.2" thickBot="1" x14ac:dyDescent="0.35">
      <c r="B6" s="93" t="str">
        <f>VLOOKUP("Área Xeográfica",tabIdiomas[],MATCH($D$2,tabIdiomas[#Headers]),FALSE)</f>
        <v>Geographic Area</v>
      </c>
      <c r="C6" s="1718" t="s">
        <v>1</v>
      </c>
      <c r="D6" s="1"/>
      <c r="E6" s="93" t="str">
        <f>VLOOKUP("Provincia",tabIdiomas[],MATCH($D$2,tabIdiomas[#Headers]),FALSE)</f>
        <v>Province</v>
      </c>
      <c r="F6" s="1715" t="s">
        <v>3</v>
      </c>
      <c r="H6" s="222" t="str">
        <f>VLOOKUP("Superficie Precisa para Corredores (m2)",tabIdiomas[],MATCH($D$2,tabIdiomas[#Headers]),FALSE)</f>
        <v>Land Surface Necessary for Maintenance Corridors (m2)</v>
      </c>
      <c r="I6" s="1727">
        <v>50</v>
      </c>
    </row>
    <row r="7" spans="2:12" ht="15" thickTop="1" x14ac:dyDescent="0.3">
      <c r="B7" s="93" t="str">
        <f>VLOOKUP("Provincia ou Rexión",tabIdiomas[],MATCH($D$2,tabIdiomas[#Headers]),FALSE)</f>
        <v>Province or Region</v>
      </c>
      <c r="C7" s="1719" t="s">
        <v>4</v>
      </c>
      <c r="D7" s="1"/>
      <c r="E7" s="93" t="str">
        <f>VLOOKUP("Concello",tabIdiomas[],MATCH($D$2,tabIdiomas[#Headers]),FALSE)</f>
        <v>City or Village</v>
      </c>
      <c r="F7" s="1716" t="s">
        <v>4</v>
      </c>
    </row>
    <row r="8" spans="2:12" ht="15" thickBot="1" x14ac:dyDescent="0.35">
      <c r="B8" s="101" t="str">
        <f>VLOOKUP("Concello ou Termo Municipal",tabIdiomas[],MATCH($D$2,tabIdiomas[#Headers]),FALSE)</f>
        <v>City or Village</v>
      </c>
      <c r="C8" s="1720" t="s">
        <v>4</v>
      </c>
      <c r="D8" s="1"/>
      <c r="E8" s="101" t="str">
        <f>VLOOKUP("Parroquia",tabIdiomas[],MATCH($D$2,tabIdiomas[#Headers]),FALSE)</f>
        <v>City or Village District</v>
      </c>
      <c r="F8" s="1717" t="s">
        <v>4</v>
      </c>
    </row>
    <row r="9" spans="2:12" ht="15.6" thickTop="1" thickBot="1" x14ac:dyDescent="0.35">
      <c r="B9" s="44"/>
      <c r="C9" s="45"/>
      <c r="D9" s="1"/>
      <c r="E9" s="1"/>
      <c r="F9" s="1"/>
    </row>
    <row r="10" spans="2:12" ht="15" thickTop="1" x14ac:dyDescent="0.3">
      <c r="B10" s="131" t="str">
        <f>VLOOKUP("Hipóteses Xerais",tabIdiomas[],MATCH($D$2,tabIdiomas[#Headers]),FALSE)</f>
        <v>General Hypotheses</v>
      </c>
      <c r="C10" s="132"/>
      <c r="D10" s="1"/>
      <c r="E10" s="127" t="str">
        <f>VLOOKUP("Financiamento do Proxecto",tabIdiomas[],MATCH($D$2,tabIdiomas[#Headers]),FALSE)</f>
        <v>Project Financing</v>
      </c>
      <c r="F10" s="135"/>
      <c r="H10" s="127" t="str">
        <f>VLOOKUP("Desglose do Investimento: Instalacións e Gastos de Constitución",tabIdiomas[],MATCH($D$2,tabIdiomas[#Headers]),FALSE)</f>
        <v>Investment Details: Facilities and Establishment Expenses</v>
      </c>
      <c r="I10" s="135"/>
      <c r="L10" s="13"/>
    </row>
    <row r="11" spans="2:12" x14ac:dyDescent="0.3">
      <c r="B11" s="116" t="str">
        <f>VLOOKUP("Prazo da Instalación (Anos)",tabIdiomas[],MATCH($D$2,tabIdiomas[#Headers]),FALSE)</f>
        <v>Project Time Horizon (Years)</v>
      </c>
      <c r="C11" s="1721">
        <v>25</v>
      </c>
      <c r="D11" s="1"/>
      <c r="E11" s="122" t="str">
        <f>VLOOKUP("% Financiamento Alleo do investimento (Débeda)",tabIdiomas[],MATCH($D$2,tabIdiomas[#Headers]),FALSE)</f>
        <v>% Investment Third-Party Financing (Debt)</v>
      </c>
      <c r="F11" s="1728">
        <v>0</v>
      </c>
      <c r="H11" s="116" t="str">
        <f>VLOOKUP("Ratio de Investimento s/ Potencia Instalada (€/kW)",tabIdiomas[],MATCH($D$2,tabIdiomas[#Headers]),FALSE)</f>
        <v>Investment Rate over Installed Power (€/kW)</v>
      </c>
      <c r="I11" s="136">
        <v>1000</v>
      </c>
      <c r="L11" s="46"/>
    </row>
    <row r="12" spans="2:12" ht="27.6" x14ac:dyDescent="0.3">
      <c r="B12" s="93" t="str">
        <f>VLOOKUP("IVE - Venda de Mercaderías, Gastos e Investimentos (%)",tabIdiomas[],MATCH($D$2,tabIdiomas[#Headers]),FALSE)</f>
        <v>VAT - Merchandise Sales, Expenses and Investments</v>
      </c>
      <c r="C12" s="1722">
        <v>0.21</v>
      </c>
      <c r="D12" s="1"/>
      <c r="E12" s="93"/>
      <c r="F12" s="1729"/>
      <c r="H12" s="122" t="str">
        <f>VLOOKUP("Necesidade de Novo CUPS, Propio (Si/Non)",tabIdiomas[],MATCH($D$2,tabIdiomas[#Headers]),FALSE)</f>
        <v>Need for a New USPC (Unified Supply Point Code), Own one (Yes/No)</v>
      </c>
      <c r="I12" s="117" t="s">
        <v>12</v>
      </c>
    </row>
    <row r="13" spans="2:12" x14ac:dyDescent="0.3">
      <c r="B13" s="93" t="str">
        <f>VLOOKUP("IVE - Período de Liquidación (Meses)",tabIdiomas[],MATCH($D$2,tabIdiomas[#Headers]),FALSE)</f>
        <v>VAT - Settlement Period (Months)</v>
      </c>
      <c r="C13" s="1723">
        <v>3</v>
      </c>
      <c r="D13" s="1"/>
      <c r="E13" s="116" t="str">
        <f>VLOOKUP("Prazo (Anos)",tabIdiomas[],MATCH($D$2,tabIdiomas[#Headers]),FALSE)</f>
        <v>Loan Term (Years)</v>
      </c>
      <c r="F13" s="1721">
        <v>15</v>
      </c>
      <c r="H13" s="122" t="str">
        <f>VLOOKUP("Custo de Investimento Vinculado á Obtención do Novo CUPS (€)",tabIdiomas[],MATCH($D$2,tabIdiomas[#Headers]),FALSE)</f>
        <v>Investment Cost of Getting a New USPC (€)</v>
      </c>
      <c r="I13" s="94">
        <v>800</v>
      </c>
    </row>
    <row r="14" spans="2:12" ht="27.6" x14ac:dyDescent="0.3">
      <c r="B14" s="116" t="str">
        <f>VLOOKUP("Tipo Impositivo IS (%)",tabIdiomas[],MATCH($D$2,tabIdiomas[#Headers]),FALSE)</f>
        <v>Corporate Income Tax Rate (%)</v>
      </c>
      <c r="C14" s="1722">
        <v>0.25</v>
      </c>
      <c r="D14" s="1"/>
      <c r="E14" s="122" t="str">
        <f>VLOOKUP("Período de Carencia de Capital (Anos)",tabIdiomas[],MATCH($D$2,tabIdiomas[#Headers]),FALSE)</f>
        <v>Lack of Need for Capital Reimbursement Period (Years)</v>
      </c>
      <c r="F14" s="1730">
        <v>0</v>
      </c>
      <c r="H14" s="122" t="str">
        <f>VLOOKUP("Gastos de Constitución (Importe Fixo ou Proporcional ao Investimento)",tabIdiomas[],MATCH($D$2,tabIdiomas[#Headers]),FALSE)</f>
        <v>Establishment Costs (Fixed Amount or a Proportion Over Investment)</v>
      </c>
      <c r="I14" s="117" t="s">
        <v>165</v>
      </c>
    </row>
    <row r="15" spans="2:12" ht="27.6" x14ac:dyDescent="0.3">
      <c r="B15" s="133" t="str">
        <f>VLOOKUP("Necesidade de Prestación de Garantía á Administración (Si / Non)",tabIdiomas[],MATCH($D$2,tabIdiomas[#Headers]),FALSE)</f>
        <v>Need for Providing Economic Guarantees to the Public Administration (Yes / No)</v>
      </c>
      <c r="C15" s="1724" t="s">
        <v>12</v>
      </c>
      <c r="D15" s="1"/>
      <c r="E15" s="122" t="str">
        <f>VLOOKUP("Periodo de Carencia de Xuros (Anos)",tabIdiomas[],MATCH($D$2,tabIdiomas[#Headers]),FALSE)</f>
        <v>Lack of Need for Interest Payment Period (Years)</v>
      </c>
      <c r="F15" s="1730">
        <v>0</v>
      </c>
      <c r="H15" s="122" t="str">
        <f>VLOOKUP("Gastos de Constitución (Importe Proporcional, % s/Investimento Inicial, se Aplicable)",tabIdiomas[],MATCH($D$2,tabIdiomas[#Headers]),FALSE)</f>
        <v>Establishment Costs (Proportional Amount, % over Initial Investment, if Applicable)</v>
      </c>
      <c r="I15" s="141">
        <f>1%</f>
        <v>0.01</v>
      </c>
    </row>
    <row r="16" spans="2:12" ht="15" thickBot="1" x14ac:dyDescent="0.35">
      <c r="B16" s="134" t="str">
        <f>VLOOKUP("Remuneración Caixa (%)",tabIdiomas[],MATCH($D$2,tabIdiomas[#Headers]),FALSE)</f>
        <v>Cash Remuneration (%)</v>
      </c>
      <c r="C16" s="1725">
        <v>0</v>
      </c>
      <c r="D16" s="1"/>
      <c r="E16" s="122" t="str">
        <f>VLOOKUP("Número de Meses a Considerar no Primeiro Ano",tabIdiomas[],MATCH($D$2,tabIdiomas[#Headers]),FALSE)</f>
        <v>Number of Months for the First Year</v>
      </c>
      <c r="F16" s="1731">
        <v>12</v>
      </c>
      <c r="H16" s="123" t="str">
        <f>VLOOKUP("Gastos de Constitución (Importe Fixo, se Aplicable) (€)",tabIdiomas[],MATCH($D$2,tabIdiomas[#Headers]),FALSE)</f>
        <v>Establishment Costs (Fixed Amount, if Applicable) (€)</v>
      </c>
      <c r="I16" s="142">
        <v>150</v>
      </c>
    </row>
    <row r="17" spans="1:9" ht="15.6" thickTop="1" thickBot="1" x14ac:dyDescent="0.35">
      <c r="D17" s="1"/>
      <c r="E17" s="116"/>
      <c r="F17" s="1731"/>
    </row>
    <row r="18" spans="1:9" ht="28.8" thickTop="1" thickBot="1" x14ac:dyDescent="0.35">
      <c r="D18" s="1"/>
      <c r="E18" s="220" t="str">
        <f>VLOOKUP("Euribor (%)",tabIdiomas[],MATCH($D$2,tabIdiomas[#Headers]),FALSE)</f>
        <v>Euribor (European Reference Interbancarian Interest Rate) (%)</v>
      </c>
      <c r="F18" s="1728">
        <v>3.6859999999999997E-2</v>
      </c>
      <c r="H18" s="127" t="str">
        <f>VLOOKUP("Desglose do Investimento: Datos Relativos ao Inversor",tabIdiomas[],MATCH($D$2,tabIdiomas[#Headers]),FALSE)</f>
        <v>Investment Details: Data Related to the Power Inverter</v>
      </c>
      <c r="I18" s="135"/>
    </row>
    <row r="19" spans="1:9" ht="28.8" thickTop="1" thickBot="1" x14ac:dyDescent="0.35">
      <c r="B19" s="126" t="str">
        <f>VLOOKUP("Hipóteses Relativas á Enerxía",tabIdiomas[],MATCH($D$2,tabIdiomas[#Headers]),FALSE)</f>
        <v>Energy-Related Hypotheses</v>
      </c>
      <c r="C19" s="126"/>
      <c r="D19" s="1"/>
      <c r="E19" s="93" t="str">
        <f>VLOOKUP("Marxe sobre Euribor (%)",tabIdiomas[],MATCH($D$2,tabIdiomas[#Headers]),FALSE)</f>
        <v>Margin Over Euribor (%)</v>
      </c>
      <c r="F19" s="1728">
        <v>0.03</v>
      </c>
      <c r="H19" s="143" t="str">
        <f>VLOOKUP("Investimento Inversor (% s/ Invest. Inicial en Instalacións)",tabIdiomas[],MATCH($D$2,tabIdiomas[#Headers]),FALSE)</f>
        <v>Power Inverter Investment (% Over Initial Investment on Facilities)</v>
      </c>
      <c r="I19" s="115">
        <v>0.2</v>
      </c>
    </row>
    <row r="20" spans="1:9" ht="28.8" thickTop="1" thickBot="1" x14ac:dyDescent="0.35">
      <c r="A20" s="3"/>
      <c r="B20" s="99" t="str">
        <f>VLOOKUP("Prezo de Referencia de Mercado da Electricidade (€/MWh)",tabIdiomas[],MATCH($D$2,tabIdiomas[#Headers]),FALSE)</f>
        <v>Reference Market Price of the Electricity (€/MWh)</v>
      </c>
      <c r="C20" s="125">
        <v>100</v>
      </c>
      <c r="E20" s="101" t="str">
        <f>VLOOKUP("Comisión de Apertura (%)",tabIdiomas[],MATCH($D$2,tabIdiomas[#Headers]),FALSE)</f>
        <v>Loan Opening Fee (%)</v>
      </c>
      <c r="F20" s="1732">
        <v>3.0000000000000001E-3</v>
      </c>
      <c r="H20" s="123" t="str">
        <f>VLOOKUP("Prazo Invest. Inversor (Vida Útil Estimada)",tabIdiomas[],MATCH($D$2,tabIdiomas[#Headers]),FALSE)</f>
        <v>Power Inverter Investment Time Period (Estimated on-use Lifetime, Years)</v>
      </c>
      <c r="I20" s="144">
        <v>15</v>
      </c>
    </row>
    <row r="21" spans="1:9" ht="15.6" thickTop="1" thickBot="1" x14ac:dyDescent="0.35">
      <c r="B21" s="93" t="str">
        <f>VLOOKUP("Prezo Autoconsumo (% sobre Prezo Medio)",tabIdiomas[],MATCH($D$2,tabIdiomas[#Headers]),FALSE)</f>
        <v>Self-Consumption Price (% over Reference Market Price)</v>
      </c>
      <c r="C21" s="112">
        <v>1</v>
      </c>
      <c r="D21" s="1"/>
      <c r="H21" s="26"/>
      <c r="I21" s="23"/>
    </row>
    <row r="22" spans="1:9" ht="15.6" thickTop="1" thickBot="1" x14ac:dyDescent="0.35">
      <c r="B22" s="93" t="str">
        <f>VLOOKUP("Prezo Compensación (% sobre Prezo Medio)",tabIdiomas[],MATCH($D$2,tabIdiomas[#Headers]),FALSE)</f>
        <v>Compensation Price (% over Reference Market Price)</v>
      </c>
      <c r="C22" s="112">
        <v>0.5</v>
      </c>
      <c r="D22" s="1"/>
      <c r="E22" s="127" t="str">
        <f>VLOOKUP("Subvención Pública",tabIdiomas[],MATCH($D$2,tabIdiomas[#Headers]),FALSE)</f>
        <v>Public Funding</v>
      </c>
      <c r="F22" s="135"/>
      <c r="H22" s="30"/>
      <c r="I22" s="49"/>
    </row>
    <row r="23" spans="1:9" ht="15" thickTop="1" x14ac:dyDescent="0.3">
      <c r="B23" s="93" t="str">
        <f>VLOOKUP("Prezo Venda (% sobre Prezo Medio)",tabIdiomas[],MATCH($D$2,tabIdiomas[#Headers]),FALSE)</f>
        <v>Sale Price (% over Reference Market Price)</v>
      </c>
      <c r="C23" s="112">
        <v>0.75</v>
      </c>
      <c r="D23" s="1"/>
      <c r="E23" s="116" t="str">
        <f>VLOOKUP("Subvención Pública (Si / Non)",tabIdiomas[],MATCH($D$2,tabIdiomas[#Headers]),FALSE)</f>
        <v>Public Grant or Economic Support (Yes / No)</v>
      </c>
      <c r="F23" s="117" t="s">
        <v>103</v>
      </c>
      <c r="H23" s="127" t="str">
        <f>VLOOKUP("Fórmula Desindexación",tabIdiomas[],MATCH($D$2,tabIdiomas[#Headers]),FALSE)</f>
        <v>Deindexing Formula</v>
      </c>
      <c r="I23" s="218" t="str">
        <f>VLOOKUP("% Anual",tabIdiomas[],MATCH($D$2,tabIdiomas[#Headers]),FALSE)</f>
        <v>Annual Percentage (%)</v>
      </c>
    </row>
    <row r="24" spans="1:9" ht="27.6" x14ac:dyDescent="0.3">
      <c r="B24" s="118" t="str">
        <f>VLOOKUP("Compensación ou Venda da Enerxía",tabIdiomas[],MATCH($D$2,tabIdiomas[#Headers]),FALSE)</f>
        <v>Energy Compensation or Energy Sale, Excedents Regime Applicable</v>
      </c>
      <c r="C24" s="113" t="s">
        <v>304</v>
      </c>
      <c r="D24" s="1"/>
      <c r="E24" s="123" t="str">
        <f>VLOOKUP("Ratio de Subvención (Subv. -%- s/  -Invest. Inicial en Instalac.)",tabIdiomas[],MATCH($D$2,tabIdiomas[#Headers]),FALSE)</f>
        <v>Public Funding Rate (Grant -%- Over Initial Investment on Facilities)</v>
      </c>
      <c r="F24" s="138">
        <v>0.6</v>
      </c>
      <c r="H24" s="93" t="str">
        <f>VLOOKUP("Taxa para a Actualización Salarios Sector (= IPC)",tabIdiomas[],MATCH($D$2,tabIdiomas[#Headers]),FALSE)</f>
        <v>Sectorial Wages Updating Rate (= CPI)</v>
      </c>
      <c r="I24" s="319">
        <v>3.1E-2</v>
      </c>
    </row>
    <row r="25" spans="1:9" ht="15.6" thickTop="1" thickBot="1" x14ac:dyDescent="0.35">
      <c r="B25" s="114" t="str">
        <f>VLOOKUP("Porcentaxe Esóxena de Aforro sobre Consumo Total (%)",tabIdiomas[],MATCH($D$2,tabIdiomas[#Headers]),FALSE)</f>
        <v>Exogenous Percentage of Savings over Total Electricity Consumption (%)</v>
      </c>
      <c r="C25" s="115">
        <v>1</v>
      </c>
      <c r="D25" s="1"/>
      <c r="H25" s="93" t="str">
        <f>VLOOKUP("Taxa para a Actualización do Custo da Enerxía",tabIdiomas[],MATCH($D$2,tabIdiomas[#Headers]),FALSE)</f>
        <v>Energy Cost Updating Rate</v>
      </c>
      <c r="I25" s="319">
        <v>1.6E-2</v>
      </c>
    </row>
    <row r="26" spans="1:9" ht="27.6" x14ac:dyDescent="0.3">
      <c r="B26" s="116" t="str">
        <f>VLOOKUP("Batería Virtual (Si / Non)",tabIdiomas[],MATCH($D$2,tabIdiomas[#Headers]),FALSE)</f>
        <v>Virtual Battery (Yes / No)</v>
      </c>
      <c r="C26" s="117" t="s">
        <v>103</v>
      </c>
      <c r="D26" s="1"/>
      <c r="E26" s="127" t="str">
        <f>VLOOKUP("Composición da Base de Socios",tabIdiomas[],MATCH($D$2,tabIdiomas[#Headers]),FALSE)</f>
        <v>Partnership Composition</v>
      </c>
      <c r="F26" s="223" t="str">
        <f>VLOOKUP("% S/Total de Socios",tabIdiomas[],MATCH($D$2,tabIdiomas[#Headers]),FALSE)</f>
        <v>% Over Total Partners</v>
      </c>
      <c r="H26" s="219" t="str">
        <f>VLOOKUP("Taxa para a Actualización dos Gastos de Explotación Xerais",tabIdiomas[],MATCH($D$2,tabIdiomas[#Headers]),FALSE)</f>
        <v>General Operation Expenses Updating Rate</v>
      </c>
      <c r="I26" s="319">
        <v>3.2000000000000001E-2</v>
      </c>
    </row>
    <row r="27" spans="1:9" ht="41.4" x14ac:dyDescent="0.3">
      <c r="B27" s="118" t="str">
        <f>VLOOKUP("Proporción da Enerxía Compensada que se Retribuiría Económicamente pola Comercializadora de NON existir Batería Virtual",tabIdiomas[],MATCH($D$2,tabIdiomas[#Headers]),FALSE)</f>
        <v>Proportion of Compensated Energy to be Economically Retributed by the Energy Selling Company if Virtual Battery does NOT exist.</v>
      </c>
      <c r="C27" s="119">
        <v>0.75</v>
      </c>
      <c r="D27" s="1"/>
      <c r="E27" s="123" t="str">
        <f>VLOOKUP("Proporción de Socios Segmento Residencial",tabIdiomas[],MATCH($D$2,tabIdiomas[#Headers]),FALSE)</f>
        <v>Residencial Segment Partners Proportion</v>
      </c>
      <c r="F27" s="139">
        <v>0.6</v>
      </c>
      <c r="H27" s="220" t="str">
        <f>VLOOKUP("Taxa para a Actualización de 'Outros Gastos de Explotación'",tabIdiomas[],MATCH($D$2,tabIdiomas[#Headers]),FALSE)</f>
        <v>Other Operation Expenses Updating Rate</v>
      </c>
      <c r="I27" s="319">
        <v>3.2000000000000001E-2</v>
      </c>
    </row>
    <row r="28" spans="1:9" ht="27.6" x14ac:dyDescent="0.3">
      <c r="B28" s="120" t="str">
        <f>VLOOKUP("Proporción Autoconsumo s/ Enerxía Xerada (Mix Resid-Empr. Equilibrado)",tabIdiomas[],MATCH($D$2,tabIdiomas[#Headers]),FALSE)</f>
        <v>Self-Consumption Over Produced Energy Proportion (Resid-Corp. Balanced Mix)</v>
      </c>
      <c r="C28" s="121">
        <v>0.5</v>
      </c>
      <c r="D28" s="1"/>
      <c r="H28" s="101" t="str">
        <f>VLOOKUP("Taxa de Variación do importe máximo das tarifas",tabIdiomas[],MATCH($D$2,tabIdiomas[#Headers]),FALSE)</f>
        <v xml:space="preserve">Growth Rate of the Maximum Amount for Rates </v>
      </c>
      <c r="I28" s="320">
        <v>3.1E-2</v>
      </c>
    </row>
    <row r="29" spans="1:9" ht="27.6" x14ac:dyDescent="0.3">
      <c r="B29" s="122" t="str">
        <f>VLOOKUP("Proporción Autoconsumo s/ Enerxía Xerada (Mix Resid-Empr. Parcialmente Equilibrado)",tabIdiomas[],MATCH($D$2,tabIdiomas[#Headers]),FALSE)</f>
        <v>Self-Consumption Over Produced Energy Proportion (Resid-Corp. Partially Balanced Mix)</v>
      </c>
      <c r="C29" s="112">
        <v>0.4</v>
      </c>
      <c r="D29" s="1"/>
      <c r="E29" s="127" t="str">
        <f>VLOOKUP("Cotas de Socios e Outros Ingresos Mensuais",tabIdiomas[],MATCH($D$2,tabIdiomas[#Headers]),FALSE)</f>
        <v>Membership Fees and Other Monthly Incomes</v>
      </c>
      <c r="F29" s="66"/>
    </row>
    <row r="30" spans="1:9" ht="41.4" x14ac:dyDescent="0.3">
      <c r="B30" s="123" t="str">
        <f>VLOOKUP("Proporción Autoconsumo s/ Enerxía Xerada (Mix Resid-Empr. Desequilibrado)",tabIdiomas[],MATCH($D$2,tabIdiomas[#Headers]),FALSE)</f>
        <v>Self-Consumption Over Produced Energy Proportion (Resid-Corp. Unbalanced Mix)</v>
      </c>
      <c r="C30" s="124">
        <v>0.3</v>
      </c>
      <c r="D30" s="1"/>
      <c r="E30" s="116" t="str">
        <f>VLOOKUP("Cota Extraord. Primeiro Ano (€/Mes)",tabIdiomas[],MATCH($D$2,tabIdiomas[#Headers]),FALSE)</f>
        <v>Extraord. Fee for the First Year (€/Month)</v>
      </c>
      <c r="F30" s="94">
        <v>0</v>
      </c>
      <c r="H30" s="202" t="str">
        <f>VLOOKUP("Outras Eventuais Percepcións dos Socios, procedentes da CE, Distintas da Enerxía Producida",tabIdiomas[],MATCH($D$2,tabIdiomas[#Headers]),FALSE)</f>
        <v>Other eventual  perceptions by Partners, from the Energy Initiative Entity, Different from the Produced Energy</v>
      </c>
      <c r="I30" s="203" t="str">
        <f>VLOOKUP("Valor Anual Conxunto de Socios (€)",tabIdiomas[],MATCH($D$2,tabIdiomas[#Headers]),FALSE)</f>
        <v>Annual Amount for All Partners (€)</v>
      </c>
    </row>
    <row r="31" spans="1:9" ht="27.6" x14ac:dyDescent="0.3">
      <c r="D31" s="1"/>
      <c r="E31" s="116" t="str">
        <f>VLOOKUP("Outros Ingresos Mensuais (€/Mes)",tabIdiomas[],MATCH($D$2,tabIdiomas[#Headers]),FALSE)</f>
        <v>Other Monthly Incomes (€/Month)</v>
      </c>
      <c r="F31" s="128">
        <v>0</v>
      </c>
      <c r="H31" s="122" t="str">
        <f>VLOOKUP("Ingresos por Prestación Gratuíta de Outros Servizos pola Entidade Xestora da Iniciativa Comunitaria",tabIdiomas[],MATCH($D$2,tabIdiomas[#Headers]),FALSE)</f>
        <v>Income Deriving from Free-of-Charge Services provided to the Partners by the Energy Initiative Manager-Entity</v>
      </c>
      <c r="I31" s="94">
        <v>0</v>
      </c>
    </row>
    <row r="32" spans="1:9" ht="27.6" x14ac:dyDescent="0.3">
      <c r="B32" s="210" t="str">
        <f>VLOOKUP("Axuste de Exclusiva Aplicación para o Cálculo do Estado de Fluxos de Efectivo (EFE)",tabIdiomas[],MATCH($D$2,tabIdiomas[#Headers]),FALSE)</f>
        <v>Adjustment Only Applicable  for the Cash Flow Statement Calculation</v>
      </c>
      <c r="D32" s="1"/>
      <c r="E32" s="129" t="str">
        <f>VLOOKUP("Impacto Fiscal Trasladado a Cotas de Socios (Si/Non)",tabIdiomas[],MATCH($D$2,tabIdiomas[#Headers]),FALSE)</f>
        <v>Corporate-Tax Impact transferred to the Membership Fees (Yes/No)</v>
      </c>
      <c r="F32" s="130" t="s">
        <v>12</v>
      </c>
      <c r="H32" s="123" t="str">
        <f>VLOOKUP("Outros Ingresos Percibidos da Entidade Xestora da Iniciativa Comunitaria",tabIdiomas[],MATCH($D$2,tabIdiomas[#Headers]),FALSE)</f>
        <v>Other Incomes perceived by the Partners from the Energy Initiative Manager-Entity</v>
      </c>
      <c r="I32" s="142">
        <v>0</v>
      </c>
    </row>
    <row r="33" spans="2:10" s="4" customFormat="1" ht="28.8" x14ac:dyDescent="0.3">
      <c r="B33" s="211" t="str">
        <f>VLOOKUP("Inclusión do Valor da Enerxía Producida como Ingreso que Xera Fluxo de Efectivo (Si/Non)",tabIdiomas[],MATCH($D$2,tabIdiomas[#Headers]),FALSE)</f>
        <v>Inclusion of the Produced Energy Value as an Income which generates a cash flow (Yes/No)</v>
      </c>
      <c r="D33" s="5"/>
    </row>
    <row r="34" spans="2:10" s="4" customFormat="1" ht="15" thickBot="1" x14ac:dyDescent="0.35">
      <c r="B34" s="212" t="s">
        <v>103</v>
      </c>
      <c r="D34" s="5"/>
      <c r="H34" s="19"/>
      <c r="I34" s="31"/>
      <c r="J34" s="35"/>
    </row>
    <row r="35" spans="2:10" ht="15" thickTop="1" x14ac:dyDescent="0.3">
      <c r="D35" s="1"/>
      <c r="H35" s="19"/>
      <c r="I35" s="36"/>
    </row>
    <row r="36" spans="2:10" ht="27.6" x14ac:dyDescent="0.3">
      <c r="B36" s="213" t="str">
        <f>VLOOKUP("Determinación da Enerxía Xerada (KWh) por KWp Ao Ano",tabIdiomas[],MATCH($D$2,tabIdiomas[#Headers]),FALSE)</f>
        <v>Produced Energy (KWh per year and KWp of Peak Installed Power) Specification Method</v>
      </c>
      <c r="D36" s="1"/>
      <c r="E36" s="213" t="str">
        <f>VLOOKUP("Determinación do Consumo Mensual (KWh) do Socio Promedio Tipo",tabIdiomas[],MATCH($D$2,tabIdiomas[#Headers]),FALSE)</f>
        <v>Average Partner Monthly Electricity Consumption (KWh) Specification Method</v>
      </c>
      <c r="H36" s="19"/>
      <c r="I36" s="37"/>
      <c r="J36" s="38"/>
    </row>
    <row r="37" spans="2:10" s="4" customFormat="1" ht="15" thickBot="1" x14ac:dyDescent="0.35">
      <c r="B37" s="212" t="s">
        <v>467</v>
      </c>
      <c r="D37" s="5"/>
      <c r="E37" s="212" t="s">
        <v>467</v>
      </c>
      <c r="H37" s="19"/>
      <c r="I37" s="39"/>
    </row>
    <row r="38" spans="2:10" s="4" customFormat="1" ht="15.6" thickTop="1" thickBot="1" x14ac:dyDescent="0.35">
      <c r="B38"/>
      <c r="D38" s="5"/>
      <c r="E38"/>
    </row>
    <row r="39" spans="2:10" ht="27.6" x14ac:dyDescent="0.3">
      <c r="B39" s="214" t="str">
        <f>VLOOKUP("Enerxía Xerada (KWh) por KWp de Potencia Instalada ao Ano (Determinación Manual)",tabIdiomas[],MATCH($D$2,tabIdiomas[#Headers]),FALSE)</f>
        <v>Produced Energy (KWh per year and KWp of Peak Installed Power) (Manual Specification)</v>
      </c>
      <c r="D39" s="1"/>
      <c r="E39" s="214" t="str">
        <f>VLOOKUP("Consumo Eléctrico Mensual (KWh) do Socio Promedio Tipo (Determinación Manual)",tabIdiomas[],MATCH($D$2,tabIdiomas[#Headers]),FALSE)</f>
        <v>Average Partner Monthly Electricity Consumption (KWh) (Manual Specification)</v>
      </c>
      <c r="G39" s="4"/>
    </row>
    <row r="40" spans="2:10" ht="15.6" thickTop="1" thickBot="1" x14ac:dyDescent="0.35">
      <c r="B40" s="215">
        <v>1276</v>
      </c>
      <c r="D40" s="1"/>
      <c r="E40" s="215">
        <v>294.41000000000003</v>
      </c>
      <c r="G40" s="4"/>
    </row>
    <row r="41" spans="2:10" ht="15" thickTop="1" x14ac:dyDescent="0.3">
      <c r="D41" s="1"/>
      <c r="F41" s="16"/>
      <c r="G41" s="4"/>
      <c r="H41" s="41"/>
      <c r="I41" s="42"/>
    </row>
    <row r="42" spans="2:10" ht="15" thickBot="1" x14ac:dyDescent="0.35">
      <c r="B42" s="1"/>
      <c r="C42" s="43"/>
      <c r="D42" s="1"/>
      <c r="H42" s="19"/>
      <c r="I42" s="40"/>
    </row>
    <row r="43" spans="2:10" ht="48.75" customHeight="1" x14ac:dyDescent="0.3">
      <c r="B43" s="214" t="str">
        <f>VLOOKUP("Comprobacións Introdución Manual de Ratio de Produción e de Consumo do Socio Tipo cando a instalación NON se atopa en Galicia",tabIdiomas[],MATCH($D$2,tabIdiomas[#Headers]),FALSE)</f>
        <v>Production Rate and Average-Partner Consumption Manual Specification: Checks when Facilities are NOT in Galicia</v>
      </c>
      <c r="C43" s="216" t="str">
        <f>VLOOKUP("Prégase, NON CUBRIR:",tabIdiomas[],MATCH($D$2,tabIdiomas[#Headers]),FALSE)</f>
        <v>Please, do NOT fill:</v>
      </c>
      <c r="D43" s="1"/>
      <c r="E43" s="1"/>
      <c r="F43" s="17"/>
      <c r="H43" s="15"/>
      <c r="I43" s="23"/>
    </row>
    <row r="44" spans="2:10" ht="27.6" x14ac:dyDescent="0.3">
      <c r="B44" s="120" t="str">
        <f>VLOOKUP("Introdución Manual Enerxía Xerada por KWp Instalado",tabIdiomas[],MATCH($D$2,tabIdiomas[#Headers]),FALSE)</f>
        <v>Manual Specification of the Produced Energy per Year and KWp of Peak Installed Power</v>
      </c>
      <c r="C44" s="217" t="str" cm="1">
        <f t="array" ref="C44">_xlfn.IFS($D$2="Galego",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Not Applicable Check</v>
      </c>
      <c r="D44" s="1"/>
      <c r="E44" s="1"/>
      <c r="F44" s="17"/>
      <c r="H44" s="30"/>
      <c r="I44" s="31"/>
    </row>
    <row r="45" spans="2:10" ht="27.6" x14ac:dyDescent="0.3">
      <c r="B45" s="227" t="str">
        <f>VLOOKUP("Introdución Manual do Consumo Mensual do Socio Tipo",tabIdiomas[],MATCH($D$2,tabIdiomas[#Headers]),FALSE)</f>
        <v>Manual Specification of the Average-Partner Monthly Electricity Consumption</v>
      </c>
      <c r="C45" s="228" t="str" cm="1">
        <f t="array" ref="C45">_xlfn.IFS($D$2="Galego",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Not Applicable Check</v>
      </c>
      <c r="D45" s="1"/>
      <c r="E45" s="1"/>
      <c r="F45" s="1"/>
      <c r="H45" s="32"/>
      <c r="I45" s="33"/>
    </row>
    <row r="46" spans="2:10" ht="15" thickTop="1" x14ac:dyDescent="0.3">
      <c r="H46" s="32"/>
      <c r="I46" s="31"/>
    </row>
    <row r="47" spans="2:10" x14ac:dyDescent="0.3">
      <c r="H47" s="13"/>
      <c r="I47" s="34"/>
    </row>
    <row r="51" spans="2:10" ht="23.7" customHeight="1" x14ac:dyDescent="0.3">
      <c r="J51" s="6"/>
    </row>
    <row r="52" spans="2:10" x14ac:dyDescent="0.3">
      <c r="D52" s="1"/>
      <c r="E52" s="1"/>
      <c r="F52" s="1"/>
    </row>
    <row r="53" spans="2:10" x14ac:dyDescent="0.3">
      <c r="D53" s="1"/>
      <c r="E53" s="1"/>
      <c r="F53" s="1"/>
    </row>
    <row r="54" spans="2:10" x14ac:dyDescent="0.3">
      <c r="D54" s="1"/>
    </row>
    <row r="55" spans="2:10" x14ac:dyDescent="0.3">
      <c r="D55" s="1"/>
      <c r="F55" s="1"/>
    </row>
    <row r="56" spans="2:10" x14ac:dyDescent="0.3">
      <c r="B56" s="1"/>
      <c r="C56" s="18"/>
      <c r="D56" s="1"/>
      <c r="E56" s="1"/>
      <c r="F56" s="1"/>
    </row>
    <row r="57" spans="2:10" x14ac:dyDescent="0.3">
      <c r="B57" s="19"/>
      <c r="C57" s="20"/>
      <c r="D57" s="1"/>
      <c r="H57" s="13"/>
    </row>
    <row r="58" spans="2:10" x14ac:dyDescent="0.3">
      <c r="B58" s="19"/>
      <c r="C58" s="21"/>
      <c r="D58" s="1"/>
      <c r="H58" s="46"/>
    </row>
    <row r="59" spans="2:10" x14ac:dyDescent="0.3">
      <c r="B59" s="19"/>
      <c r="C59" s="22"/>
      <c r="D59" s="1"/>
    </row>
    <row r="60" spans="2:10" x14ac:dyDescent="0.3">
      <c r="D60" s="1"/>
      <c r="E60" s="108"/>
      <c r="F60" s="109"/>
      <c r="H60" s="47"/>
    </row>
    <row r="61" spans="2:10" x14ac:dyDescent="0.3">
      <c r="C61" s="1"/>
      <c r="D61" s="1"/>
      <c r="H61" s="48"/>
    </row>
    <row r="62" spans="2:10" x14ac:dyDescent="0.3">
      <c r="D62" s="1"/>
    </row>
    <row r="63" spans="2:10" x14ac:dyDescent="0.3">
      <c r="B63" s="15"/>
      <c r="C63" s="23"/>
    </row>
    <row r="65" spans="4:7" x14ac:dyDescent="0.3">
      <c r="D65" s="1"/>
    </row>
    <row r="66" spans="4:7" x14ac:dyDescent="0.3">
      <c r="D66" s="7"/>
    </row>
    <row r="67" spans="4:7" x14ac:dyDescent="0.3">
      <c r="D67" s="7"/>
    </row>
    <row r="68" spans="4:7" x14ac:dyDescent="0.3">
      <c r="D68" s="7"/>
    </row>
    <row r="69" spans="4:7" x14ac:dyDescent="0.3">
      <c r="D69" s="1"/>
    </row>
    <row r="71" spans="4:7" x14ac:dyDescent="0.3">
      <c r="E71" s="15"/>
      <c r="F71" s="23"/>
      <c r="G71" s="15"/>
    </row>
    <row r="73" spans="4:7" x14ac:dyDescent="0.3">
      <c r="F73" s="24"/>
    </row>
    <row r="74" spans="4:7" x14ac:dyDescent="0.3">
      <c r="E74" s="13"/>
      <c r="F74" s="25"/>
    </row>
    <row r="76" spans="4:7" x14ac:dyDescent="0.3">
      <c r="E76" s="26"/>
      <c r="F76" s="27"/>
    </row>
    <row r="77" spans="4:7" x14ac:dyDescent="0.3">
      <c r="F77" s="28"/>
    </row>
    <row r="78" spans="4:7" x14ac:dyDescent="0.3">
      <c r="F78" s="28"/>
    </row>
    <row r="79" spans="4:7" x14ac:dyDescent="0.3">
      <c r="F79" s="28"/>
    </row>
    <row r="80" spans="4:7" x14ac:dyDescent="0.3">
      <c r="E80" s="10"/>
      <c r="F80" s="29"/>
    </row>
  </sheetData>
  <protectedRanges>
    <protectedRange sqref="C6:C8 B37 E37 B40 E40" name="Hipóteses Xerais 2"/>
    <protectedRange sqref="C11:C16 F5:F8 I5:I6 F11 F13:F16 F18:F20 I19:I20 I11:I16 F23:F24 F27 I24:I28 C20:C30 F30:F32 I31:I32 B34" name="Hipóteses Xerais"/>
  </protectedRanges>
  <dataValidations count="11">
    <dataValidation type="list" allowBlank="1" showInputMessage="1" showErrorMessage="1" sqref="L11 H58 F60" xr:uid="{8FFB3558-6B7E-4D94-9B9E-F292F9BF4B97}">
      <formula1>"Si,Non"</formula1>
    </dataValidation>
    <dataValidation type="whole" allowBlank="1" showInputMessage="1" showErrorMessage="1" errorTitle="NUMERO DE MESES NO VALIDO" error="El número de meses indicado no tiene sentido" promptTitle="EL NUMERO DE MES ENTRE 1 y 12" sqref="C61:C62 F16 F17" xr:uid="{364726F3-6BB5-4417-8F74-97ACEEEE0B6C}">
      <formula1>1</formula1>
      <formula2>12</formula2>
    </dataValidation>
    <dataValidation type="list" allowBlank="1" showInputMessage="1" showErrorMessage="1" sqref="F5" xr:uid="{371893FF-082B-4421-A9FF-5196EEDEC799}">
      <formula1>"Galicia"</formula1>
    </dataValidation>
    <dataValidation type="decimal" allowBlank="1" showInputMessage="1" showErrorMessage="1" sqref="H61 I13 I16" xr:uid="{796E4281-5EA0-4C1C-A28D-88B8EF967F4D}">
      <formula1>0</formula1>
      <formula2>100000</formula2>
    </dataValidation>
    <dataValidation type="list" allowBlank="1" showInputMessage="1" showErrorMessage="1" sqref="C6" xr:uid="{5CFEA790-92D1-44F9-9555-16F342E01068}">
      <formula1>RespPreg1</formula1>
    </dataValidation>
    <dataValidation type="decimal" allowBlank="1" showInputMessage="1" showErrorMessage="1" sqref="F11 I15 C30 F24 C12 C14 C16 I19 F27 C21:C23 C25 C27 C28 C29 I24 I25:I26 I28 I27" xr:uid="{7B3A90B7-C993-43DF-A7A8-70655D23C0AF}">
      <formula1>0</formula1>
      <formula2>1</formula2>
    </dataValidation>
    <dataValidation type="decimal" operator="greaterThan" allowBlank="1" showInputMessage="1" showErrorMessage="1" sqref="B40 I11 E40" xr:uid="{7568AD85-8D37-42AD-8D87-F308A9F213E1}">
      <formula1>0</formula1>
    </dataValidation>
    <dataValidation type="decimal" allowBlank="1" showInputMessage="1" showErrorMessage="1" sqref="F14:F15 C11 F13 I20" xr:uid="{05886FD0-8E8F-40CE-B817-C9E67B560A67}">
      <formula1>0</formula1>
      <formula2>100</formula2>
    </dataValidation>
    <dataValidation type="decimal" operator="greaterThanOrEqual" allowBlank="1" showInputMessage="1" showErrorMessage="1" sqref="C20 F30:F31 I5:I6 I31:I32" xr:uid="{D9B89711-1AC1-47A7-A88B-5CF2C514EF8E}">
      <formula1>0</formula1>
    </dataValidation>
    <dataValidation type="whole" allowBlank="1" showInputMessage="1" showErrorMessage="1" sqref="C13" xr:uid="{157EA900-3D27-41AB-BA8D-A44E84CB1D8E}">
      <formula1>0</formula1>
      <formula2>12</formula2>
    </dataValidation>
    <dataValidation type="decimal" allowBlank="1" showInputMessage="1" showErrorMessage="1" errorTitle="NUMERO DE MESES NO VALIDO" error="El número de meses indicado no tiene sentido" promptTitle="EL NUMERO DE MES ENTRE 1 y 12" sqref="F18 F19 F20" xr:uid="{264541D6-FEC6-4F75-9F2B-7411BE2A0125}">
      <formula1>0</formula1>
      <formula2>1</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1" operator="equal" id="{A3FE0FED-330E-4ACE-A93C-C62592AB8939}">
            <xm:f>'Cuestións e Respostas'!$AV$3</xm:f>
            <x14:dxf>
              <fill>
                <patternFill>
                  <bgColor theme="9" tint="0.59996337778862885"/>
                </patternFill>
              </fill>
            </x14:dxf>
          </x14:cfRule>
          <x14:cfRule type="cellIs" priority="2" operator="equal" id="{E6FE1A0C-C46D-47DC-9C68-2B1FBE126004}">
            <xm:f>'Cuestións e Respostas'!$AV$5</xm:f>
            <x14:dxf>
              <fill>
                <patternFill>
                  <bgColor theme="5" tint="0.39994506668294322"/>
                </patternFill>
              </fill>
            </x14:dxf>
          </x14:cfRule>
          <x14:cfRule type="cellIs" priority="3" operator="equal" id="{370BEB7B-AB55-4834-970D-A25DB164D860}">
            <xm:f>'Cuestións e Respostas'!$AV$4</xm:f>
            <x14:dxf>
              <fill>
                <patternFill>
                  <bgColor theme="7" tint="0.79998168889431442"/>
                </patternFill>
              </fill>
            </x14:dxf>
          </x14:cfRule>
          <xm:sqref>C44:C45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DropDown="1" showInputMessage="1" showErrorMessage="1" xr:uid="{AA81AE5E-0B1A-4326-BA66-704C8F586233}">
          <x14:formula1>
            <xm:f>'Idiomas (2)'!$A$1:$E$1</xm:f>
          </x14:formula1>
          <xm:sqref>D2</xm:sqref>
        </x14:dataValidation>
        <x14:dataValidation type="list" allowBlank="1" showInputMessage="1" showErrorMessage="1" xr:uid="{8E0A8C57-CB18-402E-BE5E-A9EFDC7AF57D}">
          <x14:formula1>
            <xm:f>'Cuestións e Respostas'!$V$3:$V$4</xm:f>
          </x14:formula1>
          <xm:sqref>C24</xm:sqref>
        </x14:dataValidation>
        <x14:dataValidation type="list" allowBlank="1" showInputMessage="1" showErrorMessage="1" xr:uid="{A58014DF-40A0-4D36-8D8A-59788EF46B64}">
          <x14:formula1>
            <xm:f>'Cuestións e Respostas'!$AH$3:$AH$4</xm:f>
          </x14:formula1>
          <xm:sqref>B37 E37</xm:sqref>
        </x14:dataValidation>
        <x14:dataValidation type="list" allowBlank="1" showInputMessage="1" showErrorMessage="1" xr:uid="{D5090C44-04C0-450A-801D-9260B8D9615D}">
          <x14:formula1>
            <xm:f>'Cuestións e Respostas'!$L$3:$L$4</xm:f>
          </x14:formula1>
          <xm:sqref>I14</xm:sqref>
        </x14:dataValidation>
        <x14:dataValidation type="list" allowBlank="1" showInputMessage="1" showErrorMessage="1" xr:uid="{51099207-F657-40D2-A3E5-8F2BDA6369CE}">
          <x14:formula1>
            <xm:f>'Cuestións e Respostas'!$F$3:$F$6</xm:f>
          </x14:formula1>
          <xm:sqref>F6</xm:sqref>
        </x14:dataValidation>
        <x14:dataValidation type="list" allowBlank="1" showInputMessage="1" showErrorMessage="1" xr:uid="{68BA6756-C985-4E3A-8C9A-EC3A2E94E6C8}">
          <x14:formula1>
            <xm:f>'Cuestións e Respostas'!$H$3:$H$4</xm:f>
          </x14:formula1>
          <xm:sqref>C15</xm:sqref>
        </x14:dataValidation>
        <x14:dataValidation type="list" allowBlank="1" showInputMessage="1" showErrorMessage="1" xr:uid="{F9993ADE-03D1-49BA-B0EF-BB670B31024A}">
          <x14:formula1>
            <xm:f>'Cuestións e Respostas'!$J$3:$J$4</xm:f>
          </x14:formula1>
          <xm:sqref>I12</xm:sqref>
        </x14:dataValidation>
        <x14:dataValidation type="list" allowBlank="1" showInputMessage="1" showErrorMessage="1" xr:uid="{F971E148-39EC-47DB-9D8D-0386EC87C1B5}">
          <x14:formula1>
            <xm:f>'Cuestións e Respostas'!$R$3:$R$4</xm:f>
          </x14:formula1>
          <xm:sqref>F23</xm:sqref>
        </x14:dataValidation>
        <x14:dataValidation type="list" allowBlank="1" showInputMessage="1" showErrorMessage="1" xr:uid="{143C48AC-8F86-4B94-8A34-8F765ADA90E1}">
          <x14:formula1>
            <xm:f>'Cuestións e Respostas'!$T$3:$T$4</xm:f>
          </x14:formula1>
          <xm:sqref>F32</xm:sqref>
        </x14:dataValidation>
        <x14:dataValidation type="list" allowBlank="1" showInputMessage="1" showErrorMessage="1" xr:uid="{32727D2A-E39F-447E-84DE-EE30642F3F7C}">
          <x14:formula1>
            <xm:f>'Cuestións e Respostas'!$X$3:$X$4</xm:f>
          </x14:formula1>
          <xm:sqref>C26</xm:sqref>
        </x14:dataValidation>
        <x14:dataValidation type="list" allowBlank="1" showInputMessage="1" showErrorMessage="1" xr:uid="{B4DBD824-FBC2-4E47-865A-5AC6D217499C}">
          <x14:formula1>
            <xm:f>'Cuestións e Respostas'!$AB$3:$AB$4</xm:f>
          </x14:formula1>
          <xm:sqref>B34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85E8-818B-4790-8270-EFBA5CD1C445}">
  <sheetPr>
    <tabColor theme="9" tint="0.39997558519241921"/>
    <pageSetUpPr fitToPage="1"/>
  </sheetPr>
  <dimension ref="A1:L80"/>
  <sheetViews>
    <sheetView zoomScale="90" zoomScaleNormal="90" workbookViewId="0">
      <selection activeCell="E31" sqref="E31"/>
    </sheetView>
  </sheetViews>
  <sheetFormatPr baseColWidth="10" defaultColWidth="11.44140625" defaultRowHeight="14.4" x14ac:dyDescent="0.3"/>
  <cols>
    <col min="2" max="2" width="48.44140625" customWidth="1"/>
    <col min="3" max="3" width="23.21875" customWidth="1"/>
    <col min="4" max="4" width="13.21875" bestFit="1" customWidth="1"/>
    <col min="5" max="5" width="35.21875" customWidth="1"/>
    <col min="6" max="6" width="15.5546875" customWidth="1"/>
    <col min="7" max="7" width="13.77734375" customWidth="1"/>
    <col min="8" max="8" width="44.21875" customWidth="1"/>
    <col min="9" max="9" width="19.21875" customWidth="1"/>
    <col min="10" max="10" width="19.44140625" customWidth="1"/>
  </cols>
  <sheetData>
    <row r="1" spans="2:12" ht="15" thickBot="1" x14ac:dyDescent="0.35">
      <c r="B1" s="1"/>
      <c r="C1" s="1"/>
      <c r="D1" s="1"/>
      <c r="E1" s="1"/>
      <c r="F1" s="1"/>
    </row>
    <row r="2" spans="2:12" ht="15.6" thickTop="1" thickBot="1" x14ac:dyDescent="0.35">
      <c r="B2" s="1"/>
      <c r="C2" s="229" t="str">
        <f>VLOOKUP("Lingua",tabIdiomas[],MATCH($D$2,tabIdiomas[#Headers]),FALSE)</f>
        <v>Lingua</v>
      </c>
      <c r="D2" s="236" t="s">
        <v>10</v>
      </c>
      <c r="E2" s="1"/>
      <c r="F2" s="1"/>
    </row>
    <row r="3" spans="2:12" ht="22.2" thickTop="1" thickBot="1" x14ac:dyDescent="0.35">
      <c r="B3" s="2" t="str">
        <f>VLOOKUP("Hipóteses Xerais",tabIdiomas[],MATCH($D$2,tabIdiomas[#Headers]),FALSE)</f>
        <v>Hipóteses Xerais</v>
      </c>
      <c r="C3" s="1"/>
      <c r="D3" s="1"/>
      <c r="E3" s="1"/>
      <c r="F3" s="1"/>
    </row>
    <row r="4" spans="2:12" ht="22.2" thickTop="1" thickBot="1" x14ac:dyDescent="0.35">
      <c r="C4" s="2"/>
      <c r="D4" s="2"/>
      <c r="E4" s="127" t="str">
        <f>VLOOKUP("Emprazamento das Instalacións (Galicia)",tabIdiomas[],MATCH($D$2,tabIdiomas[#Headers]),FALSE)</f>
        <v>Emprazamento das Instalacións (Galicia)</v>
      </c>
      <c r="F4" s="66"/>
      <c r="H4" s="127" t="str">
        <f>VLOOKUP("Dispoñibilidade de Terreos para Emprazar as Instalacións",tabIdiomas[],MATCH($D$2,tabIdiomas[#Headers]),FALSE)</f>
        <v>Dispoñibilidade de Terreos para Emprazar as Instalacións</v>
      </c>
      <c r="I4" s="66"/>
    </row>
    <row r="5" spans="2:12" ht="15" thickTop="1" x14ac:dyDescent="0.3">
      <c r="B5" s="127" t="str">
        <f>VLOOKUP("Emprazamento das Instalacións (Xeral)",tabIdiomas[],MATCH($D$2,tabIdiomas[#Headers]),FALSE)</f>
        <v>Emprazamento das Instalacións (Xeral)</v>
      </c>
      <c r="C5" s="66"/>
      <c r="D5" s="1"/>
      <c r="E5" s="93" t="str">
        <f>VLOOKUP("CC.AA.",tabIdiomas[],MATCH($D$2,tabIdiomas[#Headers]),FALSE)</f>
        <v>CC.AA.</v>
      </c>
      <c r="F5" s="140" t="s">
        <v>1</v>
      </c>
      <c r="H5" s="93" t="str">
        <f>VLOOKUP("Superficie de Terreo Dispoñible (m2)",tabIdiomas[],MATCH($D$2,tabIdiomas[#Headers]),FALSE)</f>
        <v>Superficie de Terreo Dispoñible (m2)</v>
      </c>
      <c r="I5" s="246">
        <f>'General Hipotheses (INTRO)'!I5</f>
        <v>400</v>
      </c>
    </row>
    <row r="6" spans="2:12" ht="15" thickBot="1" x14ac:dyDescent="0.35">
      <c r="B6" s="93" t="str">
        <f>VLOOKUP("Área Xeográfica",tabIdiomas[],MATCH($D$2,tabIdiomas[#Headers]),FALSE)</f>
        <v>Área Xeográfica</v>
      </c>
      <c r="C6" s="248" t="str">
        <f>INDEX(tabRespPreg1[Respuestas Pregunta],MATCH('General Hipotheses (INTRO)'!C6,tabRespPreg1[Opciones mostradas],0),1)</f>
        <v>Galicia</v>
      </c>
      <c r="D6" s="1"/>
      <c r="E6" s="93" t="str">
        <f>VLOOKUP("Provincia",tabIdiomas[],MATCH($D$2,tabIdiomas[#Headers]),FALSE)</f>
        <v>Provincia</v>
      </c>
      <c r="F6" s="249" t="str">
        <f>INDEX(tabRespPreg24_1[Respuestas Pregunta],MATCH('General Hipotheses (INTRO)'!F6,tabRespPreg24_1[Opciones mostradas],0),1)</f>
        <v>Pontevedra</v>
      </c>
      <c r="H6" s="222" t="str">
        <f>VLOOKUP("Superficie Precisa para Corredores (m2)",tabIdiomas[],MATCH($D$2,tabIdiomas[#Headers]),FALSE)</f>
        <v>Superficie Precisa para Corredores (m2)</v>
      </c>
      <c r="I6" s="247">
        <f>'General Hipotheses (INTRO)'!I6</f>
        <v>50</v>
      </c>
    </row>
    <row r="7" spans="2:12" ht="15" thickTop="1" x14ac:dyDescent="0.3">
      <c r="B7" s="93" t="str">
        <f>VLOOKUP("Provincia ou Rexión",tabIdiomas[],MATCH($D$2,tabIdiomas[#Headers]),FALSE)</f>
        <v>Provincia ou Rexión</v>
      </c>
      <c r="C7" s="237" t="str">
        <f>'General Hipotheses (INTRO)'!$C$7</f>
        <v>******</v>
      </c>
      <c r="D7" s="1"/>
      <c r="E7" s="93" t="str">
        <f>VLOOKUP("Concello",tabIdiomas[],MATCH($D$2,tabIdiomas[#Headers]),FALSE)</f>
        <v>Concello</v>
      </c>
      <c r="F7" s="239" t="str">
        <f>'General Hipotheses (INTRO)'!F7</f>
        <v>******</v>
      </c>
    </row>
    <row r="8" spans="2:12" ht="15" thickBot="1" x14ac:dyDescent="0.35">
      <c r="B8" s="101" t="str">
        <f>VLOOKUP("Concello ou Termo Municipal",tabIdiomas[],MATCH($D$2,tabIdiomas[#Headers]),FALSE)</f>
        <v>Concello ou Termo Municipal</v>
      </c>
      <c r="C8" s="238" t="str">
        <f>'General Hipotheses (INTRO)'!$C$8</f>
        <v>******</v>
      </c>
      <c r="D8" s="1"/>
      <c r="E8" s="101" t="str">
        <f>VLOOKUP("Parroquia",tabIdiomas[],MATCH($D$2,tabIdiomas[#Headers]),FALSE)</f>
        <v>Parroquia</v>
      </c>
      <c r="F8" s="240" t="str">
        <f>'General Hipotheses (INTRO)'!F8</f>
        <v>******</v>
      </c>
    </row>
    <row r="9" spans="2:12" ht="15.6" thickTop="1" thickBot="1" x14ac:dyDescent="0.35">
      <c r="B9" s="44"/>
      <c r="C9" s="45"/>
      <c r="D9" s="1"/>
      <c r="E9" s="1"/>
      <c r="F9" s="1"/>
    </row>
    <row r="10" spans="2:12" ht="15" thickTop="1" x14ac:dyDescent="0.3">
      <c r="B10" s="131" t="str">
        <f>VLOOKUP("Hipóteses Xerais",tabIdiomas[],MATCH($D$2,tabIdiomas[#Headers]),FALSE)</f>
        <v>Hipóteses Xerais</v>
      </c>
      <c r="C10" s="132"/>
      <c r="D10" s="1"/>
      <c r="E10" s="127" t="str">
        <f>VLOOKUP("Financiamento do Proxecto",tabIdiomas[],MATCH($D$2,tabIdiomas[#Headers]),FALSE)</f>
        <v>Financiamento do Proxecto</v>
      </c>
      <c r="F10" s="135"/>
      <c r="H10" s="127" t="str">
        <f>VLOOKUP("Desglose do Investimento: Instalacións e Gastos de Constitución",tabIdiomas[],MATCH($D$2,tabIdiomas[#Headers]),FALSE)</f>
        <v>Desglose do Investimento: Instalacións e Gastos de Constitución</v>
      </c>
      <c r="I10" s="135"/>
      <c r="L10" s="13"/>
    </row>
    <row r="11" spans="2:12" ht="27.6" x14ac:dyDescent="0.3">
      <c r="B11" s="116" t="str">
        <f>VLOOKUP("Prazo da Instalación (Anos)",tabIdiomas[],MATCH($D$2,tabIdiomas[#Headers]),FALSE)</f>
        <v>Prazo da Instalación (Anos)</v>
      </c>
      <c r="C11" s="241">
        <f>'General Hipotheses (INTRO)'!C11</f>
        <v>25</v>
      </c>
      <c r="D11" s="1"/>
      <c r="E11" s="122" t="str">
        <f>VLOOKUP("% Financiamento Alleo do investimento (Débeda)",tabIdiomas[],MATCH($D$2,tabIdiomas[#Headers]),FALSE)</f>
        <v>% Financiamento Alleo do investimento (Débeda)</v>
      </c>
      <c r="F11" s="250">
        <f>'General Hipotheses (INTRO)'!F11</f>
        <v>0</v>
      </c>
      <c r="H11" s="116" t="str">
        <f>VLOOKUP("Ratio de Investimento s/ Potencia Instalada (€/kW)",tabIdiomas[],MATCH($D$2,tabIdiomas[#Headers]),FALSE)</f>
        <v>Ratio de Investimento s/ Potencia Instalada (€/kW)</v>
      </c>
      <c r="I11" s="254">
        <f>'General Hipotheses (INTRO)'!I11</f>
        <v>1000</v>
      </c>
      <c r="L11" s="46"/>
    </row>
    <row r="12" spans="2:12" x14ac:dyDescent="0.3">
      <c r="B12" s="93" t="str">
        <f>VLOOKUP("IVE - Venda de Mercaderías, Gastos e Investimentos (%)",tabIdiomas[],MATCH($D$2,tabIdiomas[#Headers]),FALSE)</f>
        <v>IVE - Venda de Mercaderías, Gastos e Investimentos (%)</v>
      </c>
      <c r="C12" s="242">
        <f>'General Hipotheses (INTRO)'!C12</f>
        <v>0.21</v>
      </c>
      <c r="D12" s="1"/>
      <c r="E12" s="93"/>
      <c r="F12" s="136"/>
      <c r="H12" s="122" t="str">
        <f>VLOOKUP("Necesidade de Novo CUPS, Propio (Si/Non)",tabIdiomas[],MATCH($D$2,tabIdiomas[#Headers]),FALSE)</f>
        <v>Necesidade de Novo CUPS, Propio (Si/Non)</v>
      </c>
      <c r="I12" s="244" t="e">
        <f>INDEX(tabRespPreg156[Respuestas Pregunta],MATCH('General Hipotheses (INTRO)'!I12,tabRespPreg156[Opciones mostradas],0),1)</f>
        <v>#N/A</v>
      </c>
    </row>
    <row r="13" spans="2:12" ht="27.6" x14ac:dyDescent="0.3">
      <c r="B13" s="93" t="str">
        <f>VLOOKUP("IVE - Período de Liquidación (Meses)",tabIdiomas[],MATCH($D$2,tabIdiomas[#Headers]),FALSE)</f>
        <v>IVE - Período de Liquidación (Meses)</v>
      </c>
      <c r="C13" s="243">
        <f>'General Hipotheses (INTRO)'!C13</f>
        <v>3</v>
      </c>
      <c r="D13" s="1"/>
      <c r="E13" s="116" t="str">
        <f>VLOOKUP("Prazo (Anos)",tabIdiomas[],MATCH($D$2,tabIdiomas[#Headers]),FALSE)</f>
        <v>Prazo (Anos)</v>
      </c>
      <c r="F13" s="241">
        <f>'General Hipotheses (INTRO)'!F13</f>
        <v>15</v>
      </c>
      <c r="H13" s="122" t="str">
        <f>VLOOKUP("Custo de Investimento Vinculado á Obtención do Novo CUPS (€)",tabIdiomas[],MATCH($D$2,tabIdiomas[#Headers]),FALSE)</f>
        <v>Custo de Investimento Vinculado á Obtención do Novo CUPS (€)</v>
      </c>
      <c r="I13" s="255">
        <f>'General Hipotheses (INTRO)'!I13</f>
        <v>800</v>
      </c>
    </row>
    <row r="14" spans="2:12" ht="27.6" x14ac:dyDescent="0.3">
      <c r="B14" s="116" t="str">
        <f>VLOOKUP("Tipo Impositivo IS (%)",tabIdiomas[],MATCH($D$2,tabIdiomas[#Headers]),FALSE)</f>
        <v>Tipo Impositivo IS (%)</v>
      </c>
      <c r="C14" s="242">
        <f>'General Hipotheses (INTRO)'!C14</f>
        <v>0.25</v>
      </c>
      <c r="D14" s="1"/>
      <c r="E14" s="122" t="str">
        <f>VLOOKUP("Período de Carencia de Capital (Anos)",tabIdiomas[],MATCH($D$2,tabIdiomas[#Headers]),FALSE)</f>
        <v>Período de Carencia de Capital (Anos)</v>
      </c>
      <c r="F14" s="251">
        <f>'General Hipotheses (INTRO)'!F14</f>
        <v>0</v>
      </c>
      <c r="H14" s="122" t="str">
        <f>VLOOKUP("Gastos de Constitución (Importe Fixo ou Proporcional ao Investimento)",tabIdiomas[],MATCH($D$2,tabIdiomas[#Headers]),FALSE)</f>
        <v>Gastos de Constitución (Importe Fixo ou Proporcional ao Investimento)</v>
      </c>
      <c r="I14" s="244" t="e">
        <f>INDEX(tabRespPreg1568[Respuestas Pregunta],MATCH('General Hipotheses (INTRO)'!I14,tabRespPreg1568[Opciones mostradas],0),1)</f>
        <v>#N/A</v>
      </c>
    </row>
    <row r="15" spans="2:12" ht="27.6" x14ac:dyDescent="0.3">
      <c r="B15" s="133" t="str">
        <f>VLOOKUP("Necesidade de Prestación de Garantía á Administración (Si / Non)",tabIdiomas[],MATCH($D$2,tabIdiomas[#Headers]),FALSE)</f>
        <v>Necesidade de Prestación de Garantía á Administración (Si / Non)</v>
      </c>
      <c r="C15" s="244" t="e">
        <f>INDEX(tabRespPreg15[Respuestas Pregunta],MATCH('General Hipotheses (INTRO)'!C15,tabRespPreg15[Opciones mostradas],0),1)</f>
        <v>#N/A</v>
      </c>
      <c r="D15" s="1"/>
      <c r="E15" s="122" t="str">
        <f>VLOOKUP("Periodo de Carencia de Xuros (Anos)",tabIdiomas[],MATCH($D$2,tabIdiomas[#Headers]),FALSE)</f>
        <v>Periodo de Carencia de Xuros (Anos)</v>
      </c>
      <c r="F15" s="251">
        <f>'General Hipotheses (INTRO)'!F15</f>
        <v>0</v>
      </c>
      <c r="H15" s="122" t="str">
        <f>VLOOKUP("Gastos de Constitución (Importe Proporcional, % s/Investimento Inicial, se Aplicable)",tabIdiomas[],MATCH($D$2,tabIdiomas[#Headers]),FALSE)</f>
        <v>Gastos de Constitución (Importe Proporcional, % s/Investimento Inicial, se Aplicable)</v>
      </c>
      <c r="I15" s="242">
        <f>'General Hipotheses (INTRO)'!I15</f>
        <v>0.01</v>
      </c>
    </row>
    <row r="16" spans="2:12" ht="28.2" thickBot="1" x14ac:dyDescent="0.35">
      <c r="B16" s="134" t="str">
        <f>VLOOKUP("Remuneración Caixa (%)",tabIdiomas[],MATCH($D$2,tabIdiomas[#Headers]),FALSE)</f>
        <v>Remuneración Caixa (%)</v>
      </c>
      <c r="C16" s="245">
        <f>'General Hipotheses (INTRO)'!C16</f>
        <v>0</v>
      </c>
      <c r="D16" s="1"/>
      <c r="E16" s="122" t="str">
        <f>VLOOKUP("Número de Meses a Considerar no Primeiro Ano",tabIdiomas[],MATCH($D$2,tabIdiomas[#Headers]),FALSE)</f>
        <v>Número de Meses a Considerar no Primeiro Ano</v>
      </c>
      <c r="F16" s="252">
        <f>'General Hipotheses (INTRO)'!F16</f>
        <v>12</v>
      </c>
      <c r="H16" s="123" t="str">
        <f>VLOOKUP("Gastos de Constitución (Importe Fixo, se Aplicable) (€)",tabIdiomas[],MATCH($D$2,tabIdiomas[#Headers]),FALSE)</f>
        <v>Gastos de Constitución (Importe Fixo, se Aplicable) (€)</v>
      </c>
      <c r="I16" s="256">
        <f>'General Hipotheses (INTRO)'!I16</f>
        <v>150</v>
      </c>
    </row>
    <row r="17" spans="1:9" ht="15.6" thickTop="1" thickBot="1" x14ac:dyDescent="0.35">
      <c r="D17" s="1"/>
      <c r="E17" s="116"/>
      <c r="F17" s="137"/>
    </row>
    <row r="18" spans="1:9" ht="15.6" thickTop="1" thickBot="1" x14ac:dyDescent="0.35">
      <c r="D18" s="1"/>
      <c r="E18" s="220" t="str">
        <f>VLOOKUP("Euribor (%)",tabIdiomas[],MATCH($D$2,tabIdiomas[#Headers]),FALSE)</f>
        <v>Euribor (%)</v>
      </c>
      <c r="F18" s="250">
        <f>'General Hipotheses (INTRO)'!F18</f>
        <v>3.6859999999999997E-2</v>
      </c>
      <c r="H18" s="127" t="str">
        <f>VLOOKUP("Desglose do Investimento: Datos Relativos ao Inversor",tabIdiomas[],MATCH($D$2,tabIdiomas[#Headers]),FALSE)</f>
        <v>Desglose do Investimento: Datos Relativos ao Inversor</v>
      </c>
      <c r="I18" s="135"/>
    </row>
    <row r="19" spans="1:9" ht="28.8" thickTop="1" thickBot="1" x14ac:dyDescent="0.35">
      <c r="B19" s="126" t="str">
        <f>VLOOKUP("Hipóteses Relativas á Enerxía",tabIdiomas[],MATCH($D$2,tabIdiomas[#Headers]),FALSE)</f>
        <v>Hipóteses Relativas á Enerxía</v>
      </c>
      <c r="C19" s="126"/>
      <c r="D19" s="1"/>
      <c r="E19" s="93" t="str">
        <f>VLOOKUP("Marxe sobre Euribor (%)",tabIdiomas[],MATCH($D$2,tabIdiomas[#Headers]),FALSE)</f>
        <v>Marxe sobre Euribor (%)</v>
      </c>
      <c r="F19" s="250">
        <f>'General Hipotheses (INTRO)'!F19</f>
        <v>0.03</v>
      </c>
      <c r="H19" s="143" t="str">
        <f>VLOOKUP("Investimento Inversor (% s/ Invest. Inicial en Instalacións)",tabIdiomas[],MATCH($D$2,tabIdiomas[#Headers]),FALSE)</f>
        <v>Investimento Inversor (% s/ Invest. Inicial en Instalacións)</v>
      </c>
      <c r="I19" s="257">
        <f>'General Hipotheses (INTRO)'!I19</f>
        <v>0.2</v>
      </c>
    </row>
    <row r="20" spans="1:9" ht="15.6" thickTop="1" thickBot="1" x14ac:dyDescent="0.35">
      <c r="A20" s="3"/>
      <c r="B20" s="99" t="str">
        <f>VLOOKUP("Prezo de Referencia de Mercado da Electricidade (€/MWh)",tabIdiomas[],MATCH($D$2,tabIdiomas[#Headers]),FALSE)</f>
        <v>Prezo de Referencia de Mercado da Electricidade (€/MWh)</v>
      </c>
      <c r="C20" s="259">
        <f>'General Hipotheses (INTRO)'!C20</f>
        <v>100</v>
      </c>
      <c r="E20" s="101" t="str">
        <f>VLOOKUP("Comisión de Apertura (%)",tabIdiomas[],MATCH($D$2,tabIdiomas[#Headers]),FALSE)</f>
        <v>Comisión de Apertura (%)</v>
      </c>
      <c r="F20" s="253">
        <f>'General Hipotheses (INTRO)'!F20</f>
        <v>3.0000000000000001E-3</v>
      </c>
      <c r="H20" s="123" t="str">
        <f>VLOOKUP("Prazo Invest. Inversor (Vida Útil Estimada)",tabIdiomas[],MATCH($D$2,tabIdiomas[#Headers]),FALSE)</f>
        <v>Prazo Invest. Inversor (Vida Útil Estimada)</v>
      </c>
      <c r="I20" s="258">
        <f>'General Hipotheses (INTRO)'!I20</f>
        <v>15</v>
      </c>
    </row>
    <row r="21" spans="1:9" ht="15.6" thickTop="1" thickBot="1" x14ac:dyDescent="0.35">
      <c r="B21" s="93" t="str">
        <f>VLOOKUP("Prezo Autoconsumo (% sobre Prezo Medio)",tabIdiomas[],MATCH($D$2,tabIdiomas[#Headers]),FALSE)</f>
        <v>Prezo Autoconsumo (% sobre Prezo Medio)</v>
      </c>
      <c r="C21" s="260">
        <f>'General Hipotheses (INTRO)'!C21</f>
        <v>1</v>
      </c>
      <c r="D21" s="1"/>
      <c r="H21" s="26"/>
      <c r="I21" s="23"/>
    </row>
    <row r="22" spans="1:9" ht="15.6" thickTop="1" thickBot="1" x14ac:dyDescent="0.35">
      <c r="B22" s="93" t="str">
        <f>VLOOKUP("Prezo Compensación (% sobre Prezo Medio)",tabIdiomas[],MATCH($D$2,tabIdiomas[#Headers]),FALSE)</f>
        <v>Prezo Compensación (% sobre Prezo Medio)</v>
      </c>
      <c r="C22" s="260">
        <f>'General Hipotheses (INTRO)'!C22</f>
        <v>0.5</v>
      </c>
      <c r="D22" s="1"/>
      <c r="E22" s="127" t="str">
        <f>VLOOKUP("Subvención Pública",tabIdiomas[],MATCH($D$2,tabIdiomas[#Headers]),FALSE)</f>
        <v>Subvención Pública</v>
      </c>
      <c r="F22" s="135"/>
      <c r="H22" s="30"/>
      <c r="I22" s="49"/>
    </row>
    <row r="23" spans="1:9" ht="15" thickTop="1" x14ac:dyDescent="0.3">
      <c r="B23" s="93" t="str">
        <f>VLOOKUP("Prezo Venda (% sobre Prezo Medio)",tabIdiomas[],MATCH($D$2,tabIdiomas[#Headers]),FALSE)</f>
        <v>Prezo Venda (% sobre Prezo Medio)</v>
      </c>
      <c r="C23" s="260">
        <f>'General Hipotheses (INTRO)'!C23</f>
        <v>0.75</v>
      </c>
      <c r="D23" s="1"/>
      <c r="E23" s="116" t="str">
        <f>VLOOKUP("Subvención Pública (Si / Non)",tabIdiomas[],MATCH($D$2,tabIdiomas[#Headers]),FALSE)</f>
        <v>Subvención Pública (Si / Non)</v>
      </c>
      <c r="F23" s="244" t="e">
        <f>INDEX(tabRespPreg151013[Respuestas Pregunta],MATCH('General Hipotheses (INTRO)'!F23,tabRespPreg151013[Opciones mostradas],0),1)</f>
        <v>#N/A</v>
      </c>
      <c r="H23" s="127" t="str">
        <f>VLOOKUP("Fórmula Desindexación",tabIdiomas[],MATCH($D$2,tabIdiomas[#Headers]),FALSE)</f>
        <v>Fórmula Desindexación</v>
      </c>
      <c r="I23" s="218" t="str">
        <f>VLOOKUP("% Anual",tabIdiomas[],MATCH($D$2,tabIdiomas[#Headers]),FALSE)</f>
        <v>% Anual</v>
      </c>
    </row>
    <row r="24" spans="1:9" ht="28.2" thickBot="1" x14ac:dyDescent="0.35">
      <c r="B24" s="118" t="str">
        <f>VLOOKUP("Compensación ou Venda da Enerxía",tabIdiomas[],MATCH($D$2,tabIdiomas[#Headers]),FALSE)</f>
        <v>Compensación ou Venda da Enerxía</v>
      </c>
      <c r="C24" s="261" t="e">
        <f>INDEX(tabRespPreg1510131415[Respuestas Pregunta],MATCH('General Hipotheses (INTRO)'!C24,tabRespPreg1510131415[Opciones mostradas],0),1)</f>
        <v>#N/A</v>
      </c>
      <c r="D24" s="1"/>
      <c r="E24" s="123" t="str">
        <f>VLOOKUP("Ratio de Subvención (Subv. -%- s/  -Invest. Inicial en Instalac.)",tabIdiomas[],MATCH($D$2,tabIdiomas[#Headers]),FALSE)</f>
        <v>Ratio de Subvención (Subv. -%- s/  -Invest. Inicial en Instalac.)</v>
      </c>
      <c r="F24" s="265">
        <f>'General Hipotheses (INTRO)'!F24</f>
        <v>0.6</v>
      </c>
      <c r="H24" s="93" t="str">
        <f>VLOOKUP("Taxa para a Actualización Salarios Sector (= IPC)",tabIdiomas[],MATCH($D$2,tabIdiomas[#Headers]),FALSE)</f>
        <v>Taxa para a Actualización Salarios Sector (= IPC)</v>
      </c>
      <c r="I24" s="269">
        <f>'General Hipotheses (INTRO)'!I24</f>
        <v>3.1E-2</v>
      </c>
    </row>
    <row r="25" spans="1:9" ht="15.6" thickTop="1" thickBot="1" x14ac:dyDescent="0.35">
      <c r="B25" s="114" t="str">
        <f>VLOOKUP("Porcentaxe Esóxena de Aforro sobre Consumo Total (%)",tabIdiomas[],MATCH($D$2,tabIdiomas[#Headers]),FALSE)</f>
        <v>Porcentaxe Esóxena de Aforro sobre Consumo Total (%)</v>
      </c>
      <c r="C25" s="257">
        <f>'General Hipotheses (INTRO)'!C25</f>
        <v>1</v>
      </c>
      <c r="D25" s="1"/>
      <c r="H25" s="93" t="str">
        <f>VLOOKUP("Taxa para a Actualización do Custo da Enerxía",tabIdiomas[],MATCH($D$2,tabIdiomas[#Headers]),FALSE)</f>
        <v>Taxa para a Actualización do Custo da Enerxía</v>
      </c>
      <c r="I25" s="269">
        <f>'General Hipotheses (INTRO)'!I25</f>
        <v>1.6E-2</v>
      </c>
    </row>
    <row r="26" spans="1:9" ht="28.2" thickTop="1" x14ac:dyDescent="0.3">
      <c r="B26" s="116" t="str">
        <f>VLOOKUP("Batería Virtual (Si / Non)",tabIdiomas[],MATCH($D$2,tabIdiomas[#Headers]),FALSE)</f>
        <v>Batería Virtual (Si / Non)</v>
      </c>
      <c r="C26" s="244" t="e">
        <f>INDEX(tabRespPreg1510131416[Respuestas Pregunta],MATCH('General Hipotheses (INTRO)'!C26,tabRespPreg1510131416[Opciones mostradas],0),1)</f>
        <v>#N/A</v>
      </c>
      <c r="D26" s="1"/>
      <c r="E26" s="127" t="str">
        <f>VLOOKUP("Composición da Base de Socios",tabIdiomas[],MATCH($D$2,tabIdiomas[#Headers]),FALSE)</f>
        <v>Composición da Base de Socios</v>
      </c>
      <c r="F26" s="223" t="str">
        <f>VLOOKUP("% S/Total de Socios",tabIdiomas[],MATCH($D$2,tabIdiomas[#Headers]),FALSE)</f>
        <v>% S/Total de Socios</v>
      </c>
      <c r="H26" s="219" t="str">
        <f>VLOOKUP("Taxa para a Actualización dos Gastos de Explotación Xerais",tabIdiomas[],MATCH($D$2,tabIdiomas[#Headers]),FALSE)</f>
        <v>Taxa para a Actualización dos Gastos de Explotación Xerais</v>
      </c>
      <c r="I26" s="269">
        <f>'General Hipotheses (INTRO)'!I26</f>
        <v>3.2000000000000001E-2</v>
      </c>
    </row>
    <row r="27" spans="1:9" ht="42" thickBot="1" x14ac:dyDescent="0.35">
      <c r="B27" s="118"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7" s="262">
        <f>'General Hipotheses (INTRO)'!C27</f>
        <v>0.75</v>
      </c>
      <c r="D27" s="1"/>
      <c r="E27" s="123" t="str">
        <f>VLOOKUP("Proporción de Socios Segmento Residencial",tabIdiomas[],MATCH($D$2,tabIdiomas[#Headers]),FALSE)</f>
        <v>Proporción de Socios Segmento Residencial</v>
      </c>
      <c r="F27" s="266">
        <f>'General Hipotheses (INTRO)'!F27</f>
        <v>0.6</v>
      </c>
      <c r="H27" s="220" t="str">
        <f>VLOOKUP("Taxa para a Actualización de 'Outros Gastos de Explotación'",tabIdiomas[],MATCH($D$2,tabIdiomas[#Headers]),FALSE)</f>
        <v>Taxa para a Actualización de 'Outros Gastos de Explotación'</v>
      </c>
      <c r="I27" s="269">
        <f>'General Hipotheses (INTRO)'!I27</f>
        <v>3.2000000000000001E-2</v>
      </c>
    </row>
    <row r="28" spans="1:9" ht="28.8" thickTop="1" thickBot="1" x14ac:dyDescent="0.35">
      <c r="B28" s="120" t="str">
        <f>VLOOKUP("Proporción Autoconsumo s/ Enerxía Xerada (Mix Resid-Empr. Equilibrado)",tabIdiomas[],MATCH($D$2,tabIdiomas[#Headers]),FALSE)</f>
        <v>Proporción Autoconsumo s/ Enerxía Xerada (Mix Resid-Empr. Equilibrado)</v>
      </c>
      <c r="C28" s="263">
        <f>'General Hipotheses (INTRO)'!C28</f>
        <v>0.5</v>
      </c>
      <c r="D28" s="1"/>
      <c r="H28" s="101" t="str">
        <f>VLOOKUP("Taxa de Variación do importe máximo das tarifas",tabIdiomas[],MATCH($D$2,tabIdiomas[#Headers]),FALSE)</f>
        <v>Taxa de Variación do importe máximo das tarifas</v>
      </c>
      <c r="I28" s="270">
        <f>'General Hipotheses (INTRO)'!I28</f>
        <v>3.1E-2</v>
      </c>
    </row>
    <row r="29" spans="1:9" ht="28.8" thickTop="1" thickBot="1" x14ac:dyDescent="0.35">
      <c r="B29" s="122" t="str">
        <f>VLOOKUP("Proporción Autoconsumo s/ Enerxía Xerada (Mix Resid-Empr. Parcialmente Equilibrado)",tabIdiomas[],MATCH($D$2,tabIdiomas[#Headers]),FALSE)</f>
        <v>Proporción Autoconsumo s/ Enerxía Xerada (Mix Resid-Empr. Parcialmente Equilibrado)</v>
      </c>
      <c r="C29" s="260">
        <f>'General Hipotheses (INTRO)'!C29</f>
        <v>0.4</v>
      </c>
      <c r="D29" s="1"/>
      <c r="E29" s="127" t="str">
        <f>VLOOKUP("Cotas de Socios e Outros Ingresos Mensuais",tabIdiomas[],MATCH($D$2,tabIdiomas[#Headers]),FALSE)</f>
        <v>Cotas de Socios e Outros Ingresos Mensuais</v>
      </c>
      <c r="F29" s="66"/>
    </row>
    <row r="30" spans="1:9" ht="28.8" thickTop="1" thickBot="1" x14ac:dyDescent="0.35">
      <c r="B30" s="123" t="str">
        <f>VLOOKUP("Proporción Autoconsumo s/ Enerxía Xerada (Mix Resid-Empr. Desequilibrado)",tabIdiomas[],MATCH($D$2,tabIdiomas[#Headers]),FALSE)</f>
        <v>Proporción Autoconsumo s/ Enerxía Xerada (Mix Resid-Empr. Desequilibrado)</v>
      </c>
      <c r="C30" s="264">
        <f>'General Hipotheses (INTRO)'!C30</f>
        <v>0.3</v>
      </c>
      <c r="D30" s="1"/>
      <c r="E30" s="116" t="str">
        <f>VLOOKUP("Cota Extraord. Primeiro Ano (€/Mes)",tabIdiomas[],MATCH($D$2,tabIdiomas[#Headers]),FALSE)</f>
        <v>Cota Extraord. Primeiro Ano (€/Mes)</v>
      </c>
      <c r="F30" s="255">
        <f>'General Hipotheses (INTRO)'!F30</f>
        <v>0</v>
      </c>
      <c r="H30" s="202" t="str">
        <f>VLOOKUP("Outras Eventuais Percepcións dos Socios, procedentes da CE, Distintas da Enerxía Producida",tabIdiomas[],MATCH($D$2,tabIdiomas[#Headers]),FALSE)</f>
        <v>Outras Eventuais Percepcións dos Socios, procedentes da CE, Distintas da Enerxía Producida</v>
      </c>
      <c r="I30" s="203" t="str">
        <f>VLOOKUP("Valor Anual Conxunto de Socios (€)",tabIdiomas[],MATCH($D$2,tabIdiomas[#Headers]),FALSE)</f>
        <v>Valor Anual Conxunto de Socios (€)</v>
      </c>
    </row>
    <row r="31" spans="1:9" ht="28.8" thickTop="1" thickBot="1" x14ac:dyDescent="0.35">
      <c r="D31" s="1"/>
      <c r="E31" s="116" t="str">
        <f>VLOOKUP("Outros Ingresos Mensuais (€/Mes)",tabIdiomas[],MATCH($D$2,tabIdiomas[#Headers]),FALSE)</f>
        <v>Outros Ingresos Mensuais (€/Mes)</v>
      </c>
      <c r="F31" s="267">
        <f>'General Hipotheses (INTRO)'!F31</f>
        <v>0</v>
      </c>
      <c r="H31" s="122" t="str">
        <f>VLOOKUP("Ingresos por Prestación Gratuíta de Outros Servizos pola Entidade Xestora da Iniciativa Comunitaria",tabIdiomas[],MATCH($D$2,tabIdiomas[#Headers]),FALSE)</f>
        <v>Ingresos por Prestación Gratuíta de Outros Servizos pola Entidade Xestora da Iniciativa Comunitaria</v>
      </c>
      <c r="I31" s="255">
        <f>'General Hipotheses (INTRO)'!I31</f>
        <v>0</v>
      </c>
    </row>
    <row r="32" spans="1:9" ht="28.8" thickTop="1" thickBot="1" x14ac:dyDescent="0.35">
      <c r="B32" s="210" t="str">
        <f>VLOOKUP("Axuste de Exclusiva Aplicación para o Cálculo do Estado de Fluxos de Efectivo (EFE)",tabIdiomas[],MATCH($D$2,tabIdiomas[#Headers]),FALSE)</f>
        <v>Axuste de Exclusiva Aplicación para o Cálculo do Estado de Fluxos de Efectivo (EFE)</v>
      </c>
      <c r="D32" s="1"/>
      <c r="E32" s="129" t="str">
        <f>VLOOKUP("Impacto Fiscal Trasladado a Cotas de Socios (Si/Non)",tabIdiomas[],MATCH($D$2,tabIdiomas[#Headers]),FALSE)</f>
        <v>Impacto Fiscal Trasladado a Cotas de Socios (Si/Non)</v>
      </c>
      <c r="F32" s="268" t="e">
        <f>INDEX(tabRespPreg15101314[Respuestas Pregunta],MATCH('General Hipotheses (INTRO)'!F32,tabRespPreg15101314[Opciones mostradas],0),1)</f>
        <v>#N/A</v>
      </c>
      <c r="H32" s="123" t="str">
        <f>VLOOKUP("Outros Ingresos Percibidos da Entidade Xestora da Iniciativa Comunitaria",tabIdiomas[],MATCH($D$2,tabIdiomas[#Headers]),FALSE)</f>
        <v>Outros Ingresos Percibidos da Entidade Xestora da Iniciativa Comunitaria</v>
      </c>
      <c r="I32" s="256">
        <f>'General Hipotheses (INTRO)'!I32</f>
        <v>0</v>
      </c>
    </row>
    <row r="33" spans="2:10" s="4" customFormat="1" ht="29.4" thickTop="1" x14ac:dyDescent="0.3">
      <c r="B33" s="211" t="str">
        <f>VLOOKUP("Inclusión do Valor da Enerxía Producida como Ingreso que Xera Fluxo de Efectivo (Si/Non)",tabIdiomas[],MATCH($D$2,tabIdiomas[#Headers]),FALSE)</f>
        <v>Inclusión do Valor da Enerxía Producida como Ingreso que Xera Fluxo de Efectivo (Si/Non)</v>
      </c>
      <c r="D33" s="5"/>
    </row>
    <row r="34" spans="2:10" s="4" customFormat="1" ht="15" thickBot="1" x14ac:dyDescent="0.35">
      <c r="B34" s="271" t="e">
        <f>INDEX(tabRespPreg151013141611[Respuestas Pregunta],MATCH('General Hipotheses (INTRO)'!B34,tabRespPreg151013141611[Opciones mostradas],0),1)</f>
        <v>#N/A</v>
      </c>
      <c r="D34" s="5"/>
      <c r="H34" s="19"/>
      <c r="I34" s="31"/>
      <c r="J34" s="35"/>
    </row>
    <row r="35" spans="2:10" ht="15" thickTop="1" x14ac:dyDescent="0.3">
      <c r="D35" s="1"/>
      <c r="H35" s="19"/>
      <c r="I35" s="36"/>
    </row>
    <row r="36" spans="2:10" ht="27.6" x14ac:dyDescent="0.3">
      <c r="B36" s="213" t="str">
        <f>VLOOKUP("Determinación da Enerxía Xerada (KWh) por KWp Ao Ano",tabIdiomas[],MATCH($D$2,tabIdiomas[#Headers]),FALSE)</f>
        <v>Determinación da Enerxía Xerada (KWh) por KWp Ao Ano</v>
      </c>
      <c r="D36" s="1"/>
      <c r="E36" s="213" t="str">
        <f>VLOOKUP("Determinación do Consumo Mensual (KWh) do Socio Promedio Tipo",tabIdiomas[],MATCH($D$2,tabIdiomas[#Headers]),FALSE)</f>
        <v>Determinación do Consumo Mensual (KWh) do Socio Promedio Tipo</v>
      </c>
      <c r="H36" s="19"/>
      <c r="I36" s="37"/>
      <c r="J36" s="38"/>
    </row>
    <row r="37" spans="2:10" s="4" customFormat="1" ht="15" thickBot="1" x14ac:dyDescent="0.35">
      <c r="B37" s="271" t="e">
        <f>INDEX(tabRespPreg151013141620[Respuestas Pregunta],MATCH('General Hipotheses (INTRO)'!B37,tabRespPreg151013141620[Opciones mostradas],0),1)</f>
        <v>#N/A</v>
      </c>
      <c r="D37" s="5"/>
      <c r="E37" s="271" t="e">
        <f>INDEX(tabRespPreg151013141620[Respuestas Pregunta],MATCH('General Hipotheses (INTRO)'!E37,tabRespPreg151013141620[Opciones mostradas],0),1)</f>
        <v>#N/A</v>
      </c>
      <c r="H37" s="19"/>
      <c r="I37" s="39"/>
    </row>
    <row r="38" spans="2:10" s="4" customFormat="1" ht="15.6" thickTop="1" thickBot="1" x14ac:dyDescent="0.35">
      <c r="B38"/>
      <c r="D38" s="5"/>
      <c r="E38"/>
    </row>
    <row r="39" spans="2:10" ht="42.6" thickTop="1" thickBot="1" x14ac:dyDescent="0.35">
      <c r="B39" s="214" t="str">
        <f>VLOOKUP("Enerxía Xerada (KWh) por KWp de Potencia Instalada ao Ano (Determinación Manual)",tabIdiomas[],MATCH($D$2,tabIdiomas[#Headers]),FALSE)</f>
        <v>Enerxía Xerada (KWh) por KWp de Potencia Instalada ao Ano (Determinación Manual)</v>
      </c>
      <c r="D39" s="1"/>
      <c r="E39" s="214" t="str">
        <f>VLOOKUP("Consumo Eléctrico Mensual (KWh) do Socio Promedio Tipo (Determinación Manual)",tabIdiomas[],MATCH($D$2,tabIdiomas[#Headers]),FALSE)</f>
        <v>Consumo Eléctrico Mensual (KWh) do Socio Promedio Tipo (Determinación Manual)</v>
      </c>
      <c r="G39" s="4"/>
    </row>
    <row r="40" spans="2:10" ht="15.6" thickTop="1" thickBot="1" x14ac:dyDescent="0.35">
      <c r="B40" s="272">
        <f>'General Hipotheses (INTRO)'!B40</f>
        <v>1276</v>
      </c>
      <c r="D40" s="1"/>
      <c r="E40" s="272">
        <f>'General Hipotheses (INTRO)'!E40</f>
        <v>294.41000000000003</v>
      </c>
      <c r="G40" s="4"/>
    </row>
    <row r="41" spans="2:10" ht="15" thickTop="1" x14ac:dyDescent="0.3">
      <c r="D41" s="1"/>
      <c r="F41" s="16"/>
      <c r="G41" s="4"/>
      <c r="H41" s="41"/>
      <c r="I41" s="42"/>
    </row>
    <row r="42" spans="2:10" ht="15" thickBot="1" x14ac:dyDescent="0.35">
      <c r="B42" s="1"/>
      <c r="C42" s="43"/>
      <c r="D42" s="1"/>
      <c r="H42" s="19"/>
      <c r="I42" s="40"/>
    </row>
    <row r="43" spans="2:10" ht="42.6" thickTop="1" thickBot="1" x14ac:dyDescent="0.35">
      <c r="B43" s="214"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3" s="216" t="str">
        <f>VLOOKUP("Prégase, NON CUBRIR:",tabIdiomas[],MATCH($D$2,tabIdiomas[#Headers]),FALSE)</f>
        <v>Prégase, NON CUBRIR:</v>
      </c>
      <c r="D43" s="1"/>
      <c r="E43" s="1"/>
      <c r="F43" s="17"/>
      <c r="H43" s="15"/>
      <c r="I43" s="23"/>
    </row>
    <row r="44" spans="2:10" ht="15" thickTop="1" x14ac:dyDescent="0.3">
      <c r="B44" s="120" t="str">
        <f>VLOOKUP("Introdución Manual Enerxía Xerada por KWp Instalado",tabIdiomas[],MATCH($D$2,tabIdiomas[#Headers]),FALSE)</f>
        <v>Introdución Manual Enerxía Xerada por KWp Instalado</v>
      </c>
      <c r="C44" s="217" t="str" cm="1">
        <f t="array" ref="C44">_xlfn.IFS($D$2="Cadena", IF($C$6="Galicia", "Verificación Non Aplicable",_xlfn.IFS($C$6="Resto de España", (IF(B37="Automática (Só Galicia)", "Verificación Errónea", "Verificación Correcta")),$C$6="Estranxeiro",(IF($B$37="Automática (Só Galicia)","Verificación Errónea","Verificación Correcta")))),$D$2="Galego",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Verificación Non Aplicable</v>
      </c>
      <c r="D44" s="1"/>
      <c r="E44" s="1"/>
      <c r="F44" s="17"/>
      <c r="H44" s="30"/>
      <c r="I44" s="31"/>
    </row>
    <row r="45" spans="2:10" ht="15" thickBot="1" x14ac:dyDescent="0.35">
      <c r="B45" s="227" t="str">
        <f>VLOOKUP("Introdución Manual do Consumo Mensual do Socio Tipo",tabIdiomas[],MATCH($D$2,tabIdiomas[#Headers]),FALSE)</f>
        <v>Introdución Manual do Consumo Mensual do Socio Tipo</v>
      </c>
      <c r="C45" s="228" t="str" cm="1">
        <f t="array" ref="C45">_xlfn.IFS($D$2="Cadena", IF($C$6="Galicia", "Verificación Non Aplicable",_xlfn.IFS($C$6="Resto de España", (IF($E$37="Automática (Só Galicia)", "Verificación Errónea", "Verificación Correcta")),$C$6="Estranxeiro",(IF($E$37="Automática (Só Galicia)","Verificación Errónea","Verificación Correcta")))), $D$2="Galego",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Verificación Non Aplicable</v>
      </c>
      <c r="D45" s="1"/>
      <c r="E45" s="1"/>
      <c r="F45" s="1"/>
      <c r="H45" s="32"/>
      <c r="I45" s="33"/>
    </row>
    <row r="46" spans="2:10" ht="15" thickTop="1" x14ac:dyDescent="0.3">
      <c r="H46" s="32"/>
      <c r="I46" s="31"/>
    </row>
    <row r="47" spans="2:10" x14ac:dyDescent="0.3">
      <c r="H47" s="13"/>
      <c r="I47" s="34"/>
    </row>
    <row r="51" spans="2:10" ht="23.7" customHeight="1" x14ac:dyDescent="0.3">
      <c r="J51" s="6"/>
    </row>
    <row r="52" spans="2:10" x14ac:dyDescent="0.3">
      <c r="D52" s="1"/>
      <c r="E52" s="1"/>
      <c r="F52" s="1"/>
    </row>
    <row r="53" spans="2:10" x14ac:dyDescent="0.3">
      <c r="D53" s="1"/>
      <c r="E53" s="1"/>
      <c r="F53" s="1"/>
    </row>
    <row r="54" spans="2:10" x14ac:dyDescent="0.3">
      <c r="D54" s="1"/>
    </row>
    <row r="55" spans="2:10" x14ac:dyDescent="0.3">
      <c r="D55" s="1"/>
      <c r="F55" s="1"/>
    </row>
    <row r="56" spans="2:10" x14ac:dyDescent="0.3">
      <c r="B56" s="1"/>
      <c r="C56" s="18"/>
      <c r="D56" s="1"/>
      <c r="E56" s="1"/>
      <c r="F56" s="1"/>
    </row>
    <row r="57" spans="2:10" x14ac:dyDescent="0.3">
      <c r="B57" s="19"/>
      <c r="C57" s="20"/>
      <c r="D57" s="1"/>
      <c r="H57" s="13"/>
    </row>
    <row r="58" spans="2:10" x14ac:dyDescent="0.3">
      <c r="B58" s="19"/>
      <c r="C58" s="21"/>
      <c r="D58" s="1"/>
      <c r="H58" s="46"/>
    </row>
    <row r="59" spans="2:10" x14ac:dyDescent="0.3">
      <c r="B59" s="19"/>
      <c r="C59" s="22"/>
      <c r="D59" s="1"/>
    </row>
    <row r="60" spans="2:10" x14ac:dyDescent="0.3">
      <c r="D60" s="1"/>
      <c r="E60" s="108"/>
      <c r="F60" s="109"/>
      <c r="H60" s="47"/>
    </row>
    <row r="61" spans="2:10" x14ac:dyDescent="0.3">
      <c r="C61" s="1"/>
      <c r="D61" s="1"/>
      <c r="H61" s="48"/>
    </row>
    <row r="62" spans="2:10" x14ac:dyDescent="0.3">
      <c r="D62" s="1"/>
    </row>
    <row r="63" spans="2:10" x14ac:dyDescent="0.3">
      <c r="B63" s="15"/>
      <c r="C63" s="23"/>
    </row>
    <row r="65" spans="4:7" x14ac:dyDescent="0.3">
      <c r="D65" s="1"/>
    </row>
    <row r="66" spans="4:7" x14ac:dyDescent="0.3">
      <c r="D66" s="7"/>
    </row>
    <row r="67" spans="4:7" x14ac:dyDescent="0.3">
      <c r="D67" s="7"/>
    </row>
    <row r="68" spans="4:7" x14ac:dyDescent="0.3">
      <c r="D68" s="7"/>
    </row>
    <row r="69" spans="4:7" x14ac:dyDescent="0.3">
      <c r="D69" s="1"/>
    </row>
    <row r="71" spans="4:7" x14ac:dyDescent="0.3">
      <c r="E71" s="15"/>
      <c r="F71" s="23"/>
      <c r="G71" s="15"/>
    </row>
    <row r="73" spans="4:7" x14ac:dyDescent="0.3">
      <c r="F73" s="24"/>
    </row>
    <row r="74" spans="4:7" x14ac:dyDescent="0.3">
      <c r="E74" s="13"/>
      <c r="F74" s="25"/>
    </row>
    <row r="76" spans="4:7" x14ac:dyDescent="0.3">
      <c r="E76" s="26"/>
      <c r="F76" s="27"/>
    </row>
    <row r="77" spans="4:7" x14ac:dyDescent="0.3">
      <c r="F77" s="28"/>
    </row>
    <row r="78" spans="4:7" x14ac:dyDescent="0.3">
      <c r="F78" s="28"/>
    </row>
    <row r="79" spans="4:7" x14ac:dyDescent="0.3">
      <c r="F79" s="28"/>
    </row>
    <row r="80" spans="4:7" x14ac:dyDescent="0.3">
      <c r="E80" s="10"/>
      <c r="F80" s="29"/>
    </row>
  </sheetData>
  <protectedRanges>
    <protectedRange sqref="C6:C8 B37 E37 B40 E40" name="Hipóteses Xerais 2"/>
    <protectedRange sqref="I19:I20 I11:I16 F23:F24 F27 I24:I28 F30:F32 I31:I32 B34 C11:C16 F5:F8 I5:I6 F11:F20 C20:C30" name="Hipóteses Xerais"/>
  </protectedRanges>
  <phoneticPr fontId="36" type="noConversion"/>
  <conditionalFormatting sqref="C44:C45">
    <cfRule type="cellIs" dxfId="9" priority="1" operator="equal">
      <formula>"Verificación Correcta"</formula>
    </cfRule>
    <cfRule type="cellIs" dxfId="8" priority="2" operator="equal">
      <formula>"Verificación Errónea"</formula>
    </cfRule>
    <cfRule type="cellIs" dxfId="7" priority="3" operator="equal">
      <formula>"Verificación Non Aplicable"</formula>
    </cfRule>
  </conditionalFormatting>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6693-C6BE-4242-B753-1F29374B9EED}">
  <sheetPr>
    <tabColor theme="5" tint="0.79998168889431442"/>
    <pageSetUpPr fitToPage="1"/>
  </sheetPr>
  <dimension ref="A2:I93"/>
  <sheetViews>
    <sheetView topLeftCell="A66" zoomScaleNormal="100" workbookViewId="0">
      <selection activeCell="F72" sqref="F72:AD72"/>
    </sheetView>
  </sheetViews>
  <sheetFormatPr baseColWidth="10" defaultColWidth="11.5546875" defaultRowHeight="14.4" x14ac:dyDescent="0.3"/>
  <cols>
    <col min="2" max="2" width="57.21875" bestFit="1" customWidth="1"/>
    <col min="3" max="3" width="26.77734375" bestFit="1" customWidth="1"/>
    <col min="4" max="4" width="22.33203125" customWidth="1"/>
    <col min="5" max="5" width="25.109375" customWidth="1"/>
    <col min="6" max="6" width="39" customWidth="1"/>
    <col min="7" max="7" width="12.21875" bestFit="1" customWidth="1"/>
    <col min="8" max="8" width="17.44140625" customWidth="1"/>
    <col min="9" max="9" width="21.77734375" customWidth="1"/>
  </cols>
  <sheetData>
    <row r="2" spans="2:7" ht="15" thickBot="1" x14ac:dyDescent="0.35"/>
    <row r="3" spans="2:7" ht="15.6" thickTop="1" thickBot="1" x14ac:dyDescent="0.35">
      <c r="B3" s="321" t="str">
        <f>VLOOKUP("GASTOS: Compras de Materiais e Servizos",tabIdiomas[],MATCH('General Hipotheses (INTRO)'!$D$2,tabIdiomas[#Headers]),FALSE)</f>
        <v>EXPENSES: Materials and Services Purchases</v>
      </c>
      <c r="C3" s="324" t="str">
        <f>VLOOKUP("Unidades",tabIdiomas[],MATCH('General Hipotheses (INTRO)'!$D$2,tabIdiomas[#Headers]),FALSE)</f>
        <v>Units</v>
      </c>
      <c r="D3" s="223" t="str">
        <f>VLOOKUP("Valor Unitario",tabIdiomas[],MATCH('General Hipotheses (INTRO)'!$D$2,tabIdiomas[#Headers]),FALSE)</f>
        <v>Unit Value (€)</v>
      </c>
    </row>
    <row r="4" spans="2:7" ht="15.6" thickTop="1" thickBot="1" x14ac:dyDescent="0.35">
      <c r="B4" s="322" t="str">
        <f>VLOOKUP("Compras de Outros Aprovisionamentos",tabIdiomas[],MATCH('General Hipotheses (INTRO)'!$D$2,tabIdiomas[#Headers]),FALSE)</f>
        <v>Other Supplies Purchases</v>
      </c>
      <c r="C4" s="52"/>
      <c r="D4" s="92"/>
      <c r="F4" s="210" t="str">
        <f>VLOOKUP("Compras de Materiais e Servizos (Si/Non)",tabIdiomas[],MATCH('General Hipotheses (INTRO)'!$D$2,tabIdiomas[#Headers]),FALSE)</f>
        <v xml:space="preserve">Materials and Services Purchases (Yes/No) </v>
      </c>
      <c r="G4" s="15"/>
    </row>
    <row r="5" spans="2:7" ht="15" thickBot="1" x14ac:dyDescent="0.35">
      <c r="B5" s="220" t="str">
        <f>VLOOKUP("Compras de Elementos e Conxuntos Incorporables",tabIdiomas[],MATCH('General Hipotheses (INTRO)'!$D$2,tabIdiomas[#Headers]),FALSE)</f>
        <v>Purchases of Incorporable Elements and Sets</v>
      </c>
      <c r="C5" s="50">
        <v>0</v>
      </c>
      <c r="D5" s="94"/>
      <c r="F5" s="107" t="s">
        <v>12</v>
      </c>
    </row>
    <row r="6" spans="2:7" ht="15" thickTop="1" x14ac:dyDescent="0.3">
      <c r="B6" s="220" t="str">
        <f>VLOOKUP("Compras de Combustibles",tabIdiomas[],MATCH('General Hipotheses (INTRO)'!$D$2,tabIdiomas[#Headers]),FALSE)</f>
        <v>Energy Supplies (Fuels) Purchases</v>
      </c>
      <c r="C6" s="50">
        <v>0</v>
      </c>
      <c r="D6" s="94"/>
      <c r="E6" s="13"/>
    </row>
    <row r="7" spans="2:7" x14ac:dyDescent="0.3">
      <c r="B7" s="220" t="str">
        <f>VLOOKUP("Compras de Repostos",tabIdiomas[],MATCH('General Hipotheses (INTRO)'!$D$2,tabIdiomas[#Headers]),FALSE)</f>
        <v>Replacement Materials Purchases</v>
      </c>
      <c r="C7" s="53">
        <v>1</v>
      </c>
      <c r="D7" s="94">
        <v>150</v>
      </c>
      <c r="E7" s="51"/>
    </row>
    <row r="8" spans="2:7" x14ac:dyDescent="0.3">
      <c r="B8" s="220" t="str">
        <f>VLOOKUP("Compras de Materiais Diversos",tabIdiomas[],MATCH('General Hipotheses (INTRO)'!$D$2,tabIdiomas[#Headers]),FALSE)</f>
        <v>Various Materials Purchases</v>
      </c>
      <c r="C8" s="50">
        <v>0</v>
      </c>
      <c r="D8" s="94"/>
      <c r="E8" s="9"/>
    </row>
    <row r="9" spans="2:7" x14ac:dyDescent="0.3">
      <c r="B9" s="220" t="str">
        <f>VLOOKUP("Compras de Material de Oficina",tabIdiomas[],MATCH('General Hipotheses (INTRO)'!$D$2,tabIdiomas[#Headers]),FALSE)</f>
        <v>Office Supplies Purchases</v>
      </c>
      <c r="C9" s="50">
        <v>12</v>
      </c>
      <c r="D9" s="94">
        <v>25</v>
      </c>
      <c r="E9" s="9"/>
    </row>
    <row r="10" spans="2:7" ht="15" thickBot="1" x14ac:dyDescent="0.35">
      <c r="B10" s="323" t="str">
        <f>VLOOKUP("Traballos realizados por Outras Empresas",tabIdiomas[],MATCH('General Hipotheses (INTRO)'!$D$2,tabIdiomas[#Headers]),FALSE)</f>
        <v>Works Done by Other Companies</v>
      </c>
      <c r="C10" s="96">
        <v>0</v>
      </c>
      <c r="D10" s="97">
        <v>150</v>
      </c>
      <c r="E10" s="9"/>
    </row>
    <row r="11" spans="2:7" ht="15" thickTop="1" x14ac:dyDescent="0.3">
      <c r="E11" s="9"/>
    </row>
    <row r="12" spans="2:7" x14ac:dyDescent="0.3">
      <c r="E12" s="9"/>
    </row>
    <row r="13" spans="2:7" x14ac:dyDescent="0.3">
      <c r="E13" s="51"/>
    </row>
    <row r="14" spans="2:7" ht="15" thickBot="1" x14ac:dyDescent="0.35"/>
    <row r="15" spans="2:7" ht="15.6" thickTop="1" thickBot="1" x14ac:dyDescent="0.35">
      <c r="B15" s="321" t="str">
        <f>VLOOKUP("GASTOS: Gastos de Persoal",tabIdiomas[],MATCH('General Hipotheses (INTRO)'!$D$2,tabIdiomas[#Headers]),FALSE)</f>
        <v>EXPENSES: Human Resources Expenses</v>
      </c>
      <c r="C15" s="325" t="str">
        <f>VLOOKUP("Unidades",tabIdiomas[],MATCH('General Hipotheses (INTRO)'!$D$2,tabIdiomas[#Headers]),FALSE)</f>
        <v>Units</v>
      </c>
      <c r="D15" s="326" t="str">
        <f>VLOOKUP("Retrib. Bruta Mensual",tabIdiomas[],MATCH('General Hipotheses (INTRO)'!$D$2,tabIdiomas[#Headers]),FALSE)</f>
        <v>Gross Monthly Wage (€)</v>
      </c>
      <c r="E15" s="98"/>
    </row>
    <row r="16" spans="2:7" ht="15.6" thickTop="1" thickBot="1" x14ac:dyDescent="0.35">
      <c r="B16" s="219" t="str">
        <f>VLOOKUP("Número de Empregados a Xornada Completa Equivalentes",tabIdiomas[],MATCH('General Hipotheses (INTRO)'!$D$2,tabIdiomas[#Headers]),FALSE)</f>
        <v>Number of Full-Time Equivalent Employees</v>
      </c>
      <c r="C16" s="89">
        <v>0.125</v>
      </c>
      <c r="D16" s="84">
        <v>800</v>
      </c>
      <c r="E16" s="54"/>
      <c r="F16" s="111" t="str">
        <f>VLOOKUP("Realización das Labores de Xestión",tabIdiomas[],MATCH('General Hipotheses (INTRO)'!$D$2,tabIdiomas[#Headers]),FALSE)</f>
        <v>Management Tasks Performance Alternative</v>
      </c>
    </row>
    <row r="17" spans="1:6" ht="28.2" thickBot="1" x14ac:dyDescent="0.35">
      <c r="B17" s="220" t="str">
        <f>VLOOKUP("Seguridade Social a cargo da Empresa",tabIdiomas[],MATCH('General Hipotheses (INTRO)'!$D$2,tabIdiomas[#Headers]),FALSE)</f>
        <v>Social Security Costs to be Assumed by the Entity (% over Gross Wages)</v>
      </c>
      <c r="C17" s="90">
        <v>0.32</v>
      </c>
      <c r="D17" s="100"/>
      <c r="E17" s="54"/>
      <c r="F17" s="327" t="s">
        <v>182</v>
      </c>
    </row>
    <row r="18" spans="1:6" ht="15.6" thickTop="1" thickBot="1" x14ac:dyDescent="0.35">
      <c r="B18" s="222" t="str">
        <f>VLOOKUP("Outros gastos sociais",tabIdiomas[],MATCH('General Hipotheses (INTRO)'!$D$2,tabIdiomas[#Headers]),FALSE)</f>
        <v>Other Social Expenses (Other Personnel Costs)</v>
      </c>
      <c r="C18" s="102">
        <v>0</v>
      </c>
      <c r="D18" s="88">
        <v>0</v>
      </c>
      <c r="E18" s="54"/>
    </row>
    <row r="19" spans="1:6" ht="15" thickTop="1" x14ac:dyDescent="0.3"/>
    <row r="23" spans="1:6" ht="15" thickBot="1" x14ac:dyDescent="0.35"/>
    <row r="24" spans="1:6" x14ac:dyDescent="0.3">
      <c r="B24" s="321" t="str">
        <f>VLOOKUP("GASTOS: Gastos en Servizos Exteriores (Excl. Outros Servicios)",tabIdiomas[],MATCH('General Hipotheses (INTRO)'!$D$2,tabIdiomas[#Headers]),FALSE)</f>
        <v>EXPENSES: External Services Expenses (Excl. Other Services)</v>
      </c>
      <c r="C24" s="325" t="str">
        <f>VLOOKUP("Unidades",tabIdiomas[],MATCH('General Hipotheses (INTRO)'!$D$2,tabIdiomas[#Headers]),FALSE)</f>
        <v>Units</v>
      </c>
      <c r="D24" s="326" t="str">
        <f>VLOOKUP("Valor Unitario",tabIdiomas[],MATCH('General Hipotheses (INTRO)'!$D$2,tabIdiomas[#Headers]),FALSE)</f>
        <v>Unit Value (€)</v>
      </c>
      <c r="E24" s="55"/>
    </row>
    <row r="25" spans="1:6" x14ac:dyDescent="0.3">
      <c r="B25" s="328" t="str">
        <f>VLOOKUP("Arrendamentos e Cánones (Aluguer terreos)",tabIdiomas[],MATCH('General Hipotheses (INTRO)'!$D$2,tabIdiomas[#Headers]),FALSE)</f>
        <v>Rentals (Land and Others)</v>
      </c>
      <c r="C25" s="329"/>
      <c r="D25" s="330">
        <v>1.2</v>
      </c>
      <c r="E25" s="54"/>
    </row>
    <row r="26" spans="1:6" x14ac:dyDescent="0.3">
      <c r="B26" s="331" t="str">
        <f>VLOOKUP("Reparacións e Mantemento das Instalacións",tabIdiomas[],MATCH('General Hipotheses (INTRO)'!$D$2,tabIdiomas[#Headers]),FALSE)</f>
        <v>Facilities Repairing and Maintenance</v>
      </c>
      <c r="C26" s="332"/>
      <c r="D26" s="333"/>
      <c r="E26" s="51"/>
    </row>
    <row r="27" spans="1:6" x14ac:dyDescent="0.3">
      <c r="A27" s="8"/>
      <c r="B27" s="71" t="str">
        <f>VLOOKUP("Reparación das Instalacións",tabIdiomas[],MATCH('General Hipotheses (INTRO)'!$D$2,tabIdiomas[#Headers]),FALSE)</f>
        <v>Facilities Repairing Costs</v>
      </c>
      <c r="C27" s="334">
        <v>1</v>
      </c>
      <c r="D27" s="335">
        <v>100</v>
      </c>
      <c r="E27" s="51"/>
    </row>
    <row r="28" spans="1:6" x14ac:dyDescent="0.3">
      <c r="A28" s="8"/>
      <c r="B28" s="71" t="str">
        <f>VLOOKUP("Mantemento das Instalacións",tabIdiomas[],MATCH('General Hipotheses (INTRO)'!$D$2,tabIdiomas[#Headers]),FALSE)</f>
        <v>Facilities Manintenance Costs</v>
      </c>
      <c r="C28" s="334">
        <v>1</v>
      </c>
      <c r="D28" s="335">
        <v>500</v>
      </c>
      <c r="E28" s="51"/>
    </row>
    <row r="29" spans="1:6" s="10" customFormat="1" ht="28.8" x14ac:dyDescent="0.3">
      <c r="B29" s="70" t="str">
        <f>VLOOKUP("Servicios de Profesionais Indep. (Notarios, Avogados, Rexistradores, Economistas, Asesores, etc.)",tabIdiomas[],MATCH('General Hipotheses (INTRO)'!$D$2,tabIdiomas[#Headers]),FALSE)</f>
        <v>Profesional Services (Notaries, Lawyers, Registry Officers, Economists, Advisors, etc.)</v>
      </c>
      <c r="C29" s="332"/>
      <c r="D29" s="333"/>
      <c r="E29" s="56"/>
    </row>
    <row r="30" spans="1:6" x14ac:dyDescent="0.3">
      <c r="B30" s="71" t="str">
        <f>VLOOKUP("Gastos de Notaría e Rexistro",tabIdiomas[],MATCH('General Hipotheses (INTRO)'!$D$2,tabIdiomas[#Headers]),FALSE)</f>
        <v>Notary and Registry Costs</v>
      </c>
      <c r="C30" s="334">
        <v>0</v>
      </c>
      <c r="D30" s="336">
        <v>0</v>
      </c>
      <c r="E30" s="57"/>
    </row>
    <row r="31" spans="1:6" x14ac:dyDescent="0.3">
      <c r="B31" s="71" t="str">
        <f>VLOOKUP("Gastos de Asesoría Xurídica",tabIdiomas[],MATCH('General Hipotheses (INTRO)'!$D$2,tabIdiomas[#Headers]),FALSE)</f>
        <v>Legal Advisory Costs</v>
      </c>
      <c r="C31" s="334">
        <v>0</v>
      </c>
      <c r="D31" s="336">
        <v>0</v>
      </c>
      <c r="E31" s="57"/>
    </row>
    <row r="32" spans="1:6" x14ac:dyDescent="0.3">
      <c r="B32" s="71" t="str">
        <f>VLOOKUP("Gastos de Asesoramento Económico-Financeiro",tabIdiomas[],MATCH('General Hipotheses (INTRO)'!$D$2,tabIdiomas[#Headers]),FALSE)</f>
        <v>Economic and Financial Advisory Costs</v>
      </c>
      <c r="C32" s="334">
        <v>0</v>
      </c>
      <c r="D32" s="336">
        <v>0</v>
      </c>
      <c r="E32" s="57"/>
    </row>
    <row r="33" spans="2:6" x14ac:dyDescent="0.3">
      <c r="B33" s="71" t="str">
        <f>VLOOKUP("Gastos de Asesoramento Técnico (Enxeñería)",tabIdiomas[],MATCH('General Hipotheses (INTRO)'!$D$2,tabIdiomas[#Headers]),FALSE)</f>
        <v>Technical Advisory (Engineering) Costs</v>
      </c>
      <c r="C33" s="334">
        <v>0</v>
      </c>
      <c r="D33" s="336">
        <v>0</v>
      </c>
      <c r="E33" s="57"/>
    </row>
    <row r="34" spans="2:6" x14ac:dyDescent="0.3">
      <c r="B34" s="331" t="str">
        <f>VLOOKUP("Transportes",tabIdiomas[],MATCH('General Hipotheses (INTRO)'!$D$2,tabIdiomas[#Headers]),FALSE)</f>
        <v>Transportation Expenses</v>
      </c>
      <c r="C34" s="337">
        <v>0</v>
      </c>
      <c r="D34" s="338">
        <v>0</v>
      </c>
      <c r="E34" s="51"/>
    </row>
    <row r="35" spans="2:6" x14ac:dyDescent="0.3">
      <c r="B35" s="331" t="str">
        <f>VLOOKUP("Primas de Seguros (% do Investimento Inicial, Anual)",tabIdiomas[],MATCH('General Hipotheses (INTRO)'!$D$2,tabIdiomas[#Headers]),FALSE)</f>
        <v>Insurance Premiums (% Over Initial Investment, Annual)</v>
      </c>
      <c r="C35" s="339">
        <v>0.02</v>
      </c>
      <c r="D35" s="340"/>
      <c r="E35" s="51"/>
    </row>
    <row r="36" spans="2:6" x14ac:dyDescent="0.3">
      <c r="B36" s="331" t="str">
        <f>VLOOKUP("Servizos Bancarios",tabIdiomas[],MATCH('General Hipotheses (INTRO)'!$D$2,tabIdiomas[#Headers]),FALSE)</f>
        <v>Banking Services</v>
      </c>
      <c r="C36" s="337">
        <v>4</v>
      </c>
      <c r="D36" s="341">
        <v>60</v>
      </c>
      <c r="E36" s="51"/>
    </row>
    <row r="37" spans="2:6" x14ac:dyDescent="0.3">
      <c r="B37" s="331" t="str">
        <f>VLOOKUP("Publicidade, Propaganda e RR.PP.",tabIdiomas[],MATCH('General Hipotheses (INTRO)'!$D$2,tabIdiomas[#Headers]),FALSE)</f>
        <v>Advertising, Propaganda e Public Relations</v>
      </c>
      <c r="C37" s="332"/>
      <c r="D37" s="342"/>
      <c r="E37" s="51"/>
    </row>
    <row r="38" spans="2:6" x14ac:dyDescent="0.3">
      <c r="B38" s="71" t="str">
        <f>VLOOKUP("Material e Actividades Publicitarias",tabIdiomas[],MATCH('General Hipotheses (INTRO)'!$D$2,tabIdiomas[#Headers]),FALSE)</f>
        <v>Advertising Materials and Activities</v>
      </c>
      <c r="C38" s="343">
        <v>0</v>
      </c>
      <c r="D38" s="335">
        <v>0</v>
      </c>
      <c r="E38" s="54"/>
    </row>
    <row r="39" spans="2:6" x14ac:dyDescent="0.3">
      <c r="B39" s="71" t="str">
        <f>VLOOKUP("Actividades de Promoción",tabIdiomas[],MATCH('General Hipotheses (INTRO)'!$D$2,tabIdiomas[#Headers]),FALSE)</f>
        <v>Promotion Activities</v>
      </c>
      <c r="C39" s="343">
        <v>0</v>
      </c>
      <c r="D39" s="335">
        <v>0</v>
      </c>
      <c r="E39" s="54"/>
    </row>
    <row r="40" spans="2:6" ht="15" thickBot="1" x14ac:dyDescent="0.35">
      <c r="B40" s="71" t="str">
        <f>VLOOKUP("Relacións Públicas",tabIdiomas[],MATCH('General Hipotheses (INTRO)'!$D$2,tabIdiomas[#Headers]),FALSE)</f>
        <v>Public Relations</v>
      </c>
      <c r="C40" s="343">
        <v>0</v>
      </c>
      <c r="D40" s="335">
        <v>0</v>
      </c>
      <c r="E40" s="54"/>
    </row>
    <row r="41" spans="2:6" ht="15.6" thickTop="1" thickBot="1" x14ac:dyDescent="0.35">
      <c r="B41" s="331" t="str">
        <f>VLOOKUP("Subministros",tabIdiomas[],MATCH('General Hipotheses (INTRO)'!$D$2,tabIdiomas[#Headers]),FALSE)</f>
        <v>Supplies</v>
      </c>
      <c r="C41" s="332"/>
      <c r="D41" s="342"/>
      <c r="E41" s="51"/>
      <c r="F41" s="111" t="str">
        <f>VLOOKUP("Necesidade de Conexión a Internet, Propia (Si/Non)",tabIdiomas[],MATCH('General Hipotheses (INTRO)'!$D$2,tabIdiomas[#Headers]),FALSE)</f>
        <v>Own Internet Connection Required (Yes/No)</v>
      </c>
    </row>
    <row r="42" spans="2:6" ht="15" thickBot="1" x14ac:dyDescent="0.35">
      <c r="B42" s="71" t="str">
        <f>VLOOKUP("Telefonía Fixa e/ou Móbil",tabIdiomas[],MATCH('General Hipotheses (INTRO)'!$D$2,tabIdiomas[#Headers]),FALSE)</f>
        <v>Landline and/or Mobile Telephony</v>
      </c>
      <c r="C42" s="344">
        <v>0</v>
      </c>
      <c r="D42" s="335">
        <v>30</v>
      </c>
      <c r="E42" s="54"/>
      <c r="F42" s="107" t="s">
        <v>103</v>
      </c>
    </row>
    <row r="43" spans="2:6" ht="15" thickTop="1" x14ac:dyDescent="0.3">
      <c r="B43" s="71" t="str">
        <f>VLOOKUP("Conexión a Internet",tabIdiomas[],MATCH('General Hipotheses (INTRO)'!$D$2,tabIdiomas[#Headers]),FALSE)</f>
        <v>Internet Connection</v>
      </c>
      <c r="C43" s="344">
        <v>12</v>
      </c>
      <c r="D43" s="335">
        <v>30</v>
      </c>
      <c r="E43" s="54"/>
    </row>
    <row r="44" spans="2:6" x14ac:dyDescent="0.3">
      <c r="B44" s="71" t="str">
        <f>VLOOKUP("Subministro de Electricidade (Termo de Potencia)",tabIdiomas[],MATCH('General Hipotheses (INTRO)'!$D$2,tabIdiomas[#Headers]),FALSE)</f>
        <v>Electricity Supply (Power Term)</v>
      </c>
      <c r="C44" s="344">
        <v>12</v>
      </c>
      <c r="D44" s="335">
        <f>0.13*3.3*30</f>
        <v>12.87</v>
      </c>
      <c r="E44" s="54"/>
    </row>
    <row r="45" spans="2:6" x14ac:dyDescent="0.3">
      <c r="B45" s="71" t="str">
        <f>VLOOKUP("Subministro de Electricidade (Termo de Enerxía e Outros)",tabIdiomas[],MATCH('General Hipotheses (INTRO)'!$D$2,tabIdiomas[#Headers]),FALSE)</f>
        <v>Electricity Supply (Energy Term and Other Concepts)</v>
      </c>
      <c r="C45" s="344">
        <v>12</v>
      </c>
      <c r="D45" s="335">
        <f>0.13*100</f>
        <v>13</v>
      </c>
      <c r="E45" s="54"/>
    </row>
    <row r="46" spans="2:6" ht="15" thickBot="1" x14ac:dyDescent="0.35">
      <c r="B46" s="345" t="str">
        <f>VLOOKUP("Subministro de Auga Corrente",tabIdiomas[],MATCH('General Hipotheses (INTRO)'!$D$2,tabIdiomas[#Headers]),FALSE)</f>
        <v>Running Water Supply</v>
      </c>
      <c r="C46" s="346">
        <v>0</v>
      </c>
      <c r="D46" s="347">
        <v>25</v>
      </c>
      <c r="E46" s="54"/>
    </row>
    <row r="47" spans="2:6" ht="15.6" thickTop="1" thickBot="1" x14ac:dyDescent="0.35">
      <c r="E47" s="58"/>
    </row>
    <row r="48" spans="2:6" ht="15" thickTop="1" x14ac:dyDescent="0.3">
      <c r="B48" s="348" t="str">
        <f>VLOOKUP("Desglose de Gastos en Asesoramento e Xestoría (Outros Servizos)",tabIdiomas[],MATCH('General Hipotheses (INTRO)'!$D$2,tabIdiomas[#Headers]),FALSE)</f>
        <v>Details concerning Advisory and Managerial Expenses (Other Services)</v>
      </c>
      <c r="C48" s="351" t="str">
        <f>VLOOKUP("Imp. Mens. Por Socio (€)",tabIdiomas[],MATCH('General Hipotheses (INTRO)'!$D$2,tabIdiomas[#Headers]),FALSE)</f>
        <v>Monthly Amount per Partner (€)</v>
      </c>
      <c r="D48" s="326" t="str">
        <f>VLOOKUP("Importe Mensual (€)",tabIdiomas[],MATCH('General Hipotheses (INTRO)'!$D$2,tabIdiomas[#Headers]),FALSE)</f>
        <v>Total Monthly Amount (€)</v>
      </c>
      <c r="E48" s="54"/>
    </row>
    <row r="49" spans="2:8" x14ac:dyDescent="0.3">
      <c r="B49" s="349" t="str">
        <f>VLOOKUP("Xestión da Entidade (Ata 25 Socios)",tabIdiomas[],MATCH('General Hipotheses (INTRO)'!$D$2,tabIdiomas[#Headers]),FALSE)</f>
        <v>Entity Management (Up to 25 Partners)</v>
      </c>
      <c r="C49" s="103"/>
      <c r="D49" s="77">
        <v>60</v>
      </c>
      <c r="E49" s="54"/>
      <c r="F49" s="13"/>
    </row>
    <row r="50" spans="2:8" x14ac:dyDescent="0.3">
      <c r="B50" s="349" t="str">
        <f>VLOOKUP("Monitoring Socios",tabIdiomas[],MATCH('General Hipotheses (INTRO)'!$D$2,tabIdiomas[#Headers]),FALSE)</f>
        <v>Energy Monitoring for Partners</v>
      </c>
      <c r="C50" s="78">
        <v>1.5</v>
      </c>
      <c r="D50" s="105"/>
      <c r="E50" s="59"/>
      <c r="F50" s="64"/>
      <c r="G50" s="65"/>
      <c r="H50" s="65"/>
    </row>
    <row r="51" spans="2:8" ht="15" thickBot="1" x14ac:dyDescent="0.35">
      <c r="B51" s="350" t="str">
        <f>VLOOKUP("Asesoramento Contable, Fiscal e Outros",tabIdiomas[],MATCH('General Hipotheses (INTRO)'!$D$2,tabIdiomas[#Headers]),FALSE)</f>
        <v>Accounting Advisory, Tax Advisory and Other Advisory Services</v>
      </c>
      <c r="C51" s="104"/>
      <c r="D51" s="80">
        <v>30</v>
      </c>
      <c r="E51" s="12"/>
    </row>
    <row r="52" spans="2:8" ht="15.6" thickTop="1" thickBot="1" x14ac:dyDescent="0.35">
      <c r="B52" s="13"/>
      <c r="E52" s="12"/>
    </row>
    <row r="53" spans="2:8" ht="27.6" x14ac:dyDescent="0.3">
      <c r="B53" s="111" t="str">
        <f>VLOOKUP("Aplicabilidade do Epígrafe de Gasto 'Gastos Xerais Non Incluídos en Epígrafes Previos' (Mín. Outros Servizos = 5% s/ Cifra de Negocios)",tabIdiomas[],MATCH('General Hipotheses (INTRO)'!$D$2,tabIdiomas[#Headers]),FALSE)</f>
        <v>Applicability of the Expense Concept 'General Operating Expenses Not Included in Previous Items' (Min. Other Services = 5% Entity Turnover)</v>
      </c>
      <c r="E53" s="12"/>
    </row>
    <row r="54" spans="2:8" ht="15" thickBot="1" x14ac:dyDescent="0.35">
      <c r="B54" s="107" t="s">
        <v>12</v>
      </c>
      <c r="E54" s="12"/>
      <c r="F54" s="63"/>
      <c r="G54" s="63"/>
      <c r="H54" s="11"/>
    </row>
    <row r="55" spans="2:8" ht="15.6" thickTop="1" thickBot="1" x14ac:dyDescent="0.35">
      <c r="B55" s="14"/>
      <c r="E55" s="12"/>
      <c r="F55" s="63"/>
      <c r="G55" s="63"/>
      <c r="H55" s="11"/>
    </row>
    <row r="56" spans="2:8" x14ac:dyDescent="0.3">
      <c r="B56" s="111" t="str">
        <f>VLOOKUP("Amortización Considerada Como Custo (Si/Non)",tabIdiomas[],MATCH('General Hipotheses (INTRO)'!$D$2,tabIdiomas[#Headers]),FALSE)</f>
        <v>Accounting 'Depreciation' Considered as a Cost (Yes/No)</v>
      </c>
      <c r="E56" s="12"/>
      <c r="F56" s="63"/>
      <c r="G56" s="63"/>
      <c r="H56" s="11"/>
    </row>
    <row r="57" spans="2:8" ht="15" thickBot="1" x14ac:dyDescent="0.35">
      <c r="B57" s="107" t="s">
        <v>12</v>
      </c>
      <c r="E57" s="12"/>
      <c r="F57" s="63"/>
      <c r="G57" s="63"/>
      <c r="H57" s="11"/>
    </row>
    <row r="58" spans="2:8" ht="15" thickTop="1" x14ac:dyDescent="0.3">
      <c r="B58" s="13"/>
      <c r="E58" s="12"/>
    </row>
    <row r="59" spans="2:8" s="10" customFormat="1" ht="27.6" x14ac:dyDescent="0.3">
      <c r="B59" s="175" t="str">
        <f>VLOOKUP("Garantías, Taxas Autonómicas, Municipais e Outras Obrigas Tributarias",tabIdiomas[],MATCH('General Hipotheses (INTRO)'!$D$2,tabIdiomas[#Headers]),FALSE)</f>
        <v>Economic Guarantees, Regional and Municipal Taxes, and Other Fiscal Duties</v>
      </c>
      <c r="C59" s="149" t="str">
        <f>VLOOKUP("Base Impoñible",tabIdiomas[],MATCH('General Hipotheses (INTRO)'!$D$2,tabIdiomas[#Headers]),FALSE)</f>
        <v>Tax Base</v>
      </c>
      <c r="D59" s="149" t="str">
        <f>VLOOKUP("Tipo de Gravame",tabIdiomas[],MATCH('General Hipotheses (INTRO)'!$D$2,tabIdiomas[#Headers]),FALSE)</f>
        <v>Tax Rate</v>
      </c>
      <c r="E59" s="149" t="str">
        <f>VLOOKUP("Cota Tributaria Íntegra",tabIdiomas[],MATCH('General Hipotheses (INTRO)'!$D$2,tabIdiomas[#Headers]),FALSE)</f>
        <v>Tax Amount Payable (Prev. Deducts.), €</v>
      </c>
      <c r="F59" s="149" t="str">
        <f>VLOOKUP("Deduc. Ou Bonif. sobre a Cota",tabIdiomas[],MATCH('General Hipotheses (INTRO)'!$D$2,tabIdiomas[#Headers]),FALSE)</f>
        <v>Tax Deductions or Tax Bonifications Over Initial Tax Amount Payable (€)</v>
      </c>
      <c r="G59" s="163" t="str">
        <f>VLOOKUP("Aplicabilidade",tabIdiomas[],MATCH('General Hipotheses (INTRO)'!$D$2,tabIdiomas[#Headers]),FALSE)</f>
        <v>Applicability (Yes / No)</v>
      </c>
      <c r="H59" s="164"/>
    </row>
    <row r="60" spans="2:8" ht="28.8" x14ac:dyDescent="0.3">
      <c r="B60" s="153" t="str">
        <f>VLOOKUP("Garantía Económica para Tramitación da Solicitude de Acceso e Conexión á Rede (40€/KW)",tabIdiomas[],MATCH('General Hipotheses (INTRO)'!$D$2,tabIdiomas[#Headers]),FALSE)</f>
        <v>Economic Guarantee for the Grid Access and Connection Application (40€/KW)</v>
      </c>
      <c r="C60" s="352"/>
      <c r="D60" s="353">
        <v>40</v>
      </c>
      <c r="E60" s="354"/>
      <c r="F60" s="355">
        <v>0</v>
      </c>
      <c r="G60" s="374" t="s">
        <v>12</v>
      </c>
      <c r="H60" s="165"/>
    </row>
    <row r="61" spans="2:8" ht="28.8" x14ac:dyDescent="0.3">
      <c r="B61" s="152" t="str">
        <f>VLOOKUP("Taxa Autonómica por Inscrición en Rexistros Oficiais -Primeira Inscrición- (30.02.00 Anexo 1)",tabIdiomas[],MATCH('General Hipotheses (INTRO)'!$D$2,tabIdiomas[#Headers]),FALSE)</f>
        <v>Regional Tax for the First Registration -Official Electric Facilities Registry- (For Galicia, Tax Code 30.02.00 Annex 1)</v>
      </c>
      <c r="C61" s="356"/>
      <c r="D61" s="356"/>
      <c r="E61" s="357">
        <v>10.47</v>
      </c>
      <c r="F61" s="357">
        <v>0</v>
      </c>
      <c r="G61" s="375" t="s">
        <v>103</v>
      </c>
      <c r="H61" s="165"/>
    </row>
    <row r="62" spans="2:8" ht="28.8" hidden="1" x14ac:dyDescent="0.3">
      <c r="B62" s="150" t="s">
        <v>13</v>
      </c>
      <c r="C62" s="358"/>
      <c r="D62" s="358"/>
      <c r="E62" s="359">
        <v>2709.61</v>
      </c>
      <c r="F62" s="359">
        <v>0</v>
      </c>
      <c r="G62" s="376" t="s">
        <v>12</v>
      </c>
      <c r="H62" s="165"/>
    </row>
    <row r="63" spans="2:8" ht="28.8" hidden="1" x14ac:dyDescent="0.3">
      <c r="B63" s="150" t="s">
        <v>14</v>
      </c>
      <c r="C63" s="358"/>
      <c r="D63" s="358"/>
      <c r="E63" s="359">
        <f>IF('Hipóteses xerais (2)'!$C$17&gt;100,(90+('Hipóteses xerais (2)'!$C$17*0.05)),97.54)</f>
        <v>97.54</v>
      </c>
      <c r="F63" s="359">
        <v>0</v>
      </c>
      <c r="G63" s="376" t="s">
        <v>12</v>
      </c>
      <c r="H63" s="165"/>
    </row>
    <row r="64" spans="2:8" ht="29.4" hidden="1" thickBot="1" x14ac:dyDescent="0.35">
      <c r="B64" s="154" t="s">
        <v>15</v>
      </c>
      <c r="C64" s="360"/>
      <c r="D64" s="360"/>
      <c r="E64" s="361" t="e">
        <f>IF('Hipóteses xerais (2)'!$C$19&gt;60000,(191.25+(7.97*('Hipóteses xerais (2)'!$C$19-60000)/6000)),191.25)</f>
        <v>#N/A</v>
      </c>
      <c r="F64" s="362">
        <v>0</v>
      </c>
      <c r="G64" s="377" t="s">
        <v>12</v>
      </c>
      <c r="H64" s="165"/>
    </row>
    <row r="65" spans="2:8" x14ac:dyDescent="0.3">
      <c r="B65" s="152" t="str">
        <f>VLOOKUP("Taxa por Licencia Urbanística (Municipal)",tabIdiomas[],MATCH('General Hipotheses (INTRO)'!$D$2,tabIdiomas[#Headers]),FALSE)</f>
        <v>Municipal Tax for the Urbanistic License Issuance</v>
      </c>
      <c r="C65" s="363"/>
      <c r="D65" s="364"/>
      <c r="E65" s="365">
        <v>0</v>
      </c>
      <c r="F65" s="357">
        <v>0</v>
      </c>
      <c r="G65" s="378" t="s">
        <v>103</v>
      </c>
      <c r="H65" s="166"/>
    </row>
    <row r="66" spans="2:8" ht="28.8" x14ac:dyDescent="0.3">
      <c r="B66" s="150" t="str">
        <f>VLOOKUP("Imposto sobre Construccións, Instalacións e Obras",tabIdiomas[],MATCH('General Hipotheses (INTRO)'!$D$2,tabIdiomas[#Headers]),FALSE)</f>
        <v>Municipal Tax Over Constructions, Facilities and Works (ICIO, in Spain)</v>
      </c>
      <c r="C66" s="366"/>
      <c r="D66" s="367"/>
      <c r="E66" s="368">
        <v>0</v>
      </c>
      <c r="F66" s="359">
        <v>0</v>
      </c>
      <c r="G66" s="376" t="s">
        <v>103</v>
      </c>
      <c r="H66" s="166"/>
    </row>
    <row r="67" spans="2:8" x14ac:dyDescent="0.3">
      <c r="B67" s="150" t="str">
        <f>VLOOKUP("Taxa por Obtención de Licencia de Actividade",tabIdiomas[],MATCH('General Hipotheses (INTRO)'!$D$2,tabIdiomas[#Headers]),FALSE)</f>
        <v>License of Activity Issuance Tax</v>
      </c>
      <c r="C67" s="366"/>
      <c r="D67" s="367"/>
      <c r="E67" s="368">
        <v>0</v>
      </c>
      <c r="F67" s="359">
        <v>0</v>
      </c>
      <c r="G67" s="376" t="s">
        <v>103</v>
      </c>
      <c r="H67" s="166"/>
    </row>
    <row r="68" spans="2:8" x14ac:dyDescent="0.3">
      <c r="B68" s="151" t="str">
        <f>VLOOKUP("Outras Obrigas Tributarias",tabIdiomas[],MATCH('General Hipotheses (INTRO)'!$D$2,tabIdiomas[#Headers]),FALSE)</f>
        <v>Other Fiscal Duties</v>
      </c>
      <c r="C68" s="369"/>
      <c r="D68" s="370"/>
      <c r="E68" s="371">
        <v>0</v>
      </c>
      <c r="F68" s="372">
        <v>0</v>
      </c>
      <c r="G68" s="379" t="s">
        <v>103</v>
      </c>
      <c r="H68" s="166"/>
    </row>
    <row r="69" spans="2:8" ht="15" thickTop="1" x14ac:dyDescent="0.3"/>
    <row r="70" spans="2:8" ht="15" thickBot="1" x14ac:dyDescent="0.35"/>
    <row r="71" spans="2:8" ht="15.6" thickTop="1" thickBot="1" x14ac:dyDescent="0.35">
      <c r="C71" s="348" t="str">
        <f>VLOOKUP("Unidades",tabIdiomas[],MATCH('General Hipotheses (INTRO)'!$D$2,tabIdiomas[#Headers]),FALSE)</f>
        <v>Units</v>
      </c>
      <c r="D71" s="326" t="str">
        <f>VLOOKUP("Valor Unitario",tabIdiomas[],MATCH('General Hipotheses (INTRO)'!$D$2,tabIdiomas[#Headers]),FALSE)</f>
        <v>Unit Value (€)</v>
      </c>
    </row>
    <row r="72" spans="2:8" ht="15.6" thickTop="1" thickBot="1" x14ac:dyDescent="0.35">
      <c r="B72" s="373" t="str">
        <f>VLOOKUP("Outras Perdas en Xestión Corrente",tabIdiomas[],MATCH('General Hipotheses (INTRO)'!$D$2,tabIdiomas[#Headers]),FALSE)</f>
        <v>Other Losses Arising From Ordinary Corporate Operation Activities</v>
      </c>
      <c r="C72" s="87">
        <v>10</v>
      </c>
      <c r="D72" s="88">
        <v>5</v>
      </c>
    </row>
    <row r="73" spans="2:8" ht="15" thickTop="1" x14ac:dyDescent="0.3"/>
    <row r="76" spans="2:8" x14ac:dyDescent="0.3">
      <c r="E76" s="145"/>
    </row>
    <row r="78" spans="2:8" x14ac:dyDescent="0.3">
      <c r="B78" s="147"/>
      <c r="C78" s="148"/>
    </row>
    <row r="88" spans="2:9" x14ac:dyDescent="0.3">
      <c r="B88" s="65"/>
      <c r="C88" s="169"/>
      <c r="D88" s="169"/>
      <c r="E88" s="170"/>
      <c r="F88" s="169"/>
      <c r="G88" s="65"/>
    </row>
    <row r="89" spans="2:9" x14ac:dyDescent="0.3">
      <c r="B89" s="171"/>
      <c r="C89" s="172"/>
      <c r="D89" s="172"/>
      <c r="E89" s="173"/>
      <c r="F89" s="173"/>
      <c r="G89" s="173"/>
      <c r="H89" s="172"/>
      <c r="I89" s="173"/>
    </row>
    <row r="91" spans="2:9" x14ac:dyDescent="0.3">
      <c r="B91" s="173"/>
      <c r="C91" s="173"/>
      <c r="D91" s="173"/>
      <c r="E91" s="173"/>
      <c r="F91" s="173"/>
      <c r="G91" s="173"/>
    </row>
    <row r="93" spans="2:9" x14ac:dyDescent="0.3">
      <c r="B93" s="98"/>
      <c r="G93" s="174"/>
    </row>
  </sheetData>
  <protectedRanges>
    <protectedRange sqref="C5:D10 C16:C18 D16 D18 F5 F17 D25 C27:D28 C30:D34 C35:C36 D36 C38:D40 C42:D46 F42 D49 C50 D51 B54 B57 D60 E61:E68 C64:D68 F60:G68 C72:D72" name="Gastos"/>
  </protectedRanges>
  <dataValidations count="4">
    <dataValidation type="list" allowBlank="1" showInputMessage="1" showErrorMessage="1" sqref="G62:G64 G62:G64" xr:uid="{E8984672-CD26-4459-A34A-22C04A6A42D7}">
      <formula1>"Si,Non"</formula1>
    </dataValidation>
    <dataValidation type="decimal" operator="greaterThanOrEqual" allowBlank="1" showInputMessage="1" showErrorMessage="1" sqref="F60:F68 D51 C5:C10 D6:D10 D16 C18:D18 C27:C28 D25 D27 D28 C30:D34 C36:D36 C38:D40 C42:D46 C50 D49 D60 E61:E68 C72:D72" xr:uid="{0CE70F0F-F0CE-4022-87EA-249ACB95B432}">
      <formula1>0</formula1>
    </dataValidation>
    <dataValidation type="decimal" allowBlank="1" showInputMessage="1" showErrorMessage="1" sqref="C16" xr:uid="{4EC53BFF-7E22-4863-91D9-8CADB2EEC731}">
      <formula1>0</formula1>
      <formula2>1000</formula2>
    </dataValidation>
    <dataValidation type="decimal" allowBlank="1" showInputMessage="1" showErrorMessage="1" sqref="C17 C35" xr:uid="{3EC44AAC-27BC-48E2-88C5-3C5A1FB859AF}">
      <formula1>0</formula1>
      <formula2>1</formula2>
    </dataValidation>
  </dataValidations>
  <printOptions horizontalCentered="1" verticalCentered="1"/>
  <pageMargins left="0.70866141732283472" right="0.70866141732283472" top="0.15748031496062992" bottom="0.15748031496062992" header="0.31496062992125984" footer="0.31496062992125984"/>
  <pageSetup paperSize="9" scale="69" fitToHeight="0" orientation="landscape"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r:uid="{4A34F454-E4E8-4500-81AB-A0FA65C756B5}">
          <x14:formula1>
            <xm:f>'Cuestións e Respostas'!$P$3:$P$5</xm:f>
          </x14:formula1>
          <xm:sqref>F17</xm:sqref>
        </x14:dataValidation>
        <x14:dataValidation type="list" allowBlank="1" showInputMessage="1" showErrorMessage="1" xr:uid="{4CBF986D-ADEA-4775-A5AB-3254FD6B7D7E}">
          <x14:formula1>
            <xm:f>'Cuestións e Respostas'!$N$3:$N$4</xm:f>
          </x14:formula1>
          <xm:sqref>F5</xm:sqref>
        </x14:dataValidation>
        <x14:dataValidation type="list" allowBlank="1" showInputMessage="1" showErrorMessage="1" xr:uid="{5B1A50B6-6A5E-4F47-A2A7-0DD95A064A23}">
          <x14:formula1>
            <xm:f>'Cuestións e Respostas'!$Z$3:$Z$4</xm:f>
          </x14:formula1>
          <xm:sqref>F42</xm:sqref>
        </x14:dataValidation>
        <x14:dataValidation type="list" allowBlank="1" showInputMessage="1" showErrorMessage="1" xr:uid="{AB6B91A8-662F-4013-AB57-2A7D37B4248F}">
          <x14:formula1>
            <xm:f>'Cuestións e Respostas'!$AD$3:$AD$4</xm:f>
          </x14:formula1>
          <xm:sqref>B54</xm:sqref>
        </x14:dataValidation>
        <x14:dataValidation type="list" allowBlank="1" showInputMessage="1" showErrorMessage="1" xr:uid="{7939B019-6D5F-4029-A09D-011DF3483254}">
          <x14:formula1>
            <xm:f>'Cuestións e Respostas'!$AF$3:$AF$4</xm:f>
          </x14:formula1>
          <xm:sqref>B57</xm:sqref>
        </x14:dataValidation>
        <x14:dataValidation type="list" allowBlank="1" showInputMessage="1" showErrorMessage="1" xr:uid="{E8695649-D8F7-4753-8441-14EBAF33EC89}">
          <x14:formula1>
            <xm:f>'Cuestións e Respostas'!$AJ$3:$AJ$4</xm:f>
          </x14:formula1>
          <xm:sqref>G60</xm:sqref>
        </x14:dataValidation>
        <x14:dataValidation type="list" allowBlank="1" showInputMessage="1" showErrorMessage="1" xr:uid="{E0F7E332-DD38-42B2-9F92-8D8452047A48}">
          <x14:formula1>
            <xm:f>'Cuestións e Respostas'!$AL$3:$AL$4</xm:f>
          </x14:formula1>
          <xm:sqref>G61</xm:sqref>
        </x14:dataValidation>
        <x14:dataValidation type="list" allowBlank="1" showInputMessage="1" showErrorMessage="1" xr:uid="{A0637E17-6188-465E-9BE1-354A3D4F0DB1}">
          <x14:formula1>
            <xm:f>'Cuestións e Respostas'!$AN$3:$AN$4</xm:f>
          </x14:formula1>
          <xm:sqref>G65</xm:sqref>
        </x14:dataValidation>
        <x14:dataValidation type="list" allowBlank="1" showInputMessage="1" showErrorMessage="1" xr:uid="{658F6AE9-DAD5-4B33-B4BA-BD9C689BBF50}">
          <x14:formula1>
            <xm:f>'Cuestións e Respostas'!$AP$3:$AP$4</xm:f>
          </x14:formula1>
          <xm:sqref>G66</xm:sqref>
        </x14:dataValidation>
        <x14:dataValidation type="list" allowBlank="1" showInputMessage="1" showErrorMessage="1" xr:uid="{46EF2DA1-EC7D-46D5-A595-328223A423E0}">
          <x14:formula1>
            <xm:f>'Cuestións e Respostas'!$AR$3:$AR$4</xm:f>
          </x14:formula1>
          <xm:sqref>G67</xm:sqref>
        </x14:dataValidation>
        <x14:dataValidation type="list" allowBlank="1" showInputMessage="1" showErrorMessage="1" xr:uid="{7B53DEED-40F8-4F46-A1F5-90CEFC6396BB}">
          <x14:formula1>
            <xm:f>'Cuestións e Respostas'!$AT$3:$AT$4</xm:f>
          </x14:formula1>
          <xm:sqref>G68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082-E9FC-445D-8231-944A8C204DA1}">
  <sheetPr>
    <tabColor theme="9" tint="0.39997558519241921"/>
    <pageSetUpPr fitToPage="1"/>
  </sheetPr>
  <dimension ref="A2:I93"/>
  <sheetViews>
    <sheetView topLeftCell="A61" zoomScaleNormal="100" workbookViewId="0">
      <selection activeCell="F72" sqref="F72:AD72"/>
    </sheetView>
  </sheetViews>
  <sheetFormatPr baseColWidth="10" defaultColWidth="11.5546875" defaultRowHeight="14.4" x14ac:dyDescent="0.3"/>
  <cols>
    <col min="2" max="2" width="57.21875" bestFit="1" customWidth="1"/>
    <col min="3" max="3" width="26.77734375" bestFit="1" customWidth="1"/>
    <col min="4" max="4" width="20.77734375" bestFit="1" customWidth="1"/>
    <col min="5" max="5" width="16.21875" customWidth="1"/>
    <col min="6" max="6" width="42.21875" bestFit="1" customWidth="1"/>
    <col min="7" max="7" width="12.21875" bestFit="1" customWidth="1"/>
    <col min="8" max="8" width="17.44140625" customWidth="1"/>
    <col min="9" max="9" width="21.77734375" customWidth="1"/>
  </cols>
  <sheetData>
    <row r="2" spans="2:7" ht="15" thickBot="1" x14ac:dyDescent="0.35"/>
    <row r="3" spans="2:7" ht="15.6" thickTop="1" thickBot="1" x14ac:dyDescent="0.35">
      <c r="B3" s="60" t="str">
        <f>VLOOKUP("GASTOS: Compras de Materiais e Servizos",tabIdiomas[],MATCH('Hipóteses Xerais'!$D$2,tabIdiomas[#Headers]),FALSE)</f>
        <v>GASTOS: Compras de Materiais e Servizos</v>
      </c>
      <c r="C3" s="61" t="str">
        <f>VLOOKUP("Unidades",tabIdiomas[],MATCH('Hipóteses Xerais'!$D$2,tabIdiomas[#Headers]),FALSE)</f>
        <v>Unidades</v>
      </c>
      <c r="D3" s="62" t="str">
        <f>VLOOKUP("Valor Unitario",tabIdiomas[],MATCH('Hipóteses Xerais'!$D$2,tabIdiomas[#Headers]),FALSE)</f>
        <v>Valor Unitario</v>
      </c>
    </row>
    <row r="4" spans="2:7" ht="15.6" thickTop="1" thickBot="1" x14ac:dyDescent="0.35">
      <c r="B4" s="91" t="str">
        <f>VLOOKUP("Compras de Outros Aprovisionamentos",tabIdiomas[],MATCH('Hipóteses Xerais'!$D$2,tabIdiomas[#Headers]),FALSE)</f>
        <v>Compras de Outros Aprovisionamentos</v>
      </c>
      <c r="C4" s="52"/>
      <c r="D4" s="92"/>
      <c r="F4" s="106" t="str">
        <f>VLOOKUP("Compras de Materiais e Servizos (Si/Non)",tabIdiomas[],MATCH('Hipóteses Xerais'!$D$2,tabIdiomas[#Headers]),FALSE)</f>
        <v>Compras de Materiais e Servizos (Si/Non)</v>
      </c>
      <c r="G4" s="15"/>
    </row>
    <row r="5" spans="2:7" x14ac:dyDescent="0.3">
      <c r="B5" s="93" t="str">
        <f>VLOOKUP("Compras de Elementos e Conxuntos Incorporables",tabIdiomas[],MATCH('Hipóteses Xerais'!$D$2,tabIdiomas[#Headers]),FALSE)</f>
        <v>Compras de Elementos e Conxuntos Incorporables</v>
      </c>
      <c r="C5" s="273">
        <f>'Expenses Hipotheses (INTRO)'!C5</f>
        <v>0</v>
      </c>
      <c r="D5" s="94"/>
      <c r="F5" s="301" t="e">
        <f>INDEX(tabRespPreg1510[Respuestas Pregunta],MATCH('Expenses Hipotheses (INTRO)'!F5,tabRespPreg1510[Opciones mostradas],0),1)</f>
        <v>#N/A</v>
      </c>
    </row>
    <row r="6" spans="2:7" ht="15" thickTop="1" x14ac:dyDescent="0.3">
      <c r="B6" s="93" t="str">
        <f>VLOOKUP("Compras de Combustibles",tabIdiomas[],MATCH('Hipóteses Xerais'!$D$2,tabIdiomas[#Headers]),FALSE)</f>
        <v>Compras de Combustibles</v>
      </c>
      <c r="C6" s="273">
        <f>'Expenses Hipotheses (INTRO)'!C6</f>
        <v>0</v>
      </c>
      <c r="D6" s="94"/>
      <c r="E6" s="13"/>
    </row>
    <row r="7" spans="2:7" x14ac:dyDescent="0.3">
      <c r="B7" s="93" t="str">
        <f>VLOOKUP("Compras de Repostos",tabIdiomas[],MATCH('Hipóteses Xerais'!$D$2,tabIdiomas[#Headers]),FALSE)</f>
        <v>Compras de Repostos</v>
      </c>
      <c r="C7" s="273">
        <f>'Expenses Hipotheses (INTRO)'!C7</f>
        <v>1</v>
      </c>
      <c r="D7" s="255">
        <f>'Expenses Hipotheses (INTRO)'!D7</f>
        <v>150</v>
      </c>
      <c r="E7" s="51"/>
    </row>
    <row r="8" spans="2:7" x14ac:dyDescent="0.3">
      <c r="B8" s="93" t="str">
        <f>VLOOKUP("Compras de Materiais Diversos",tabIdiomas[],MATCH('Hipóteses Xerais'!$D$2,tabIdiomas[#Headers]),FALSE)</f>
        <v>Compras de Materiais Diversos</v>
      </c>
      <c r="C8" s="273">
        <f>'Expenses Hipotheses (INTRO)'!C8</f>
        <v>0</v>
      </c>
      <c r="D8" s="255">
        <f>'Expenses Hipotheses (INTRO)'!D8</f>
        <v>0</v>
      </c>
      <c r="E8" s="9"/>
    </row>
    <row r="9" spans="2:7" x14ac:dyDescent="0.3">
      <c r="B9" s="93" t="str">
        <f>VLOOKUP("Compras de Material de Oficina",tabIdiomas[],MATCH('Hipóteses Xerais'!$D$2,tabIdiomas[#Headers]),FALSE)</f>
        <v>Compras de Material de Oficina</v>
      </c>
      <c r="C9" s="273">
        <f>'Expenses Hipotheses (INTRO)'!C9</f>
        <v>12</v>
      </c>
      <c r="D9" s="255">
        <f>'Expenses Hipotheses (INTRO)'!D9</f>
        <v>25</v>
      </c>
      <c r="E9" s="9"/>
    </row>
    <row r="10" spans="2:7" ht="15" thickBot="1" x14ac:dyDescent="0.35">
      <c r="B10" s="95" t="str">
        <f>VLOOKUP("Traballos realizados por Outras Empresas",tabIdiomas[],MATCH('Hipóteses Xerais'!$D$2,tabIdiomas[#Headers]),FALSE)</f>
        <v>Traballos realizados por Outras Empresas</v>
      </c>
      <c r="C10" s="274">
        <f>'Expenses Hipotheses (INTRO)'!C10</f>
        <v>0</v>
      </c>
      <c r="D10" s="275">
        <f>'Expenses Hipotheses (INTRO)'!D10</f>
        <v>150</v>
      </c>
      <c r="E10" s="9"/>
    </row>
    <row r="11" spans="2:7" ht="15" thickTop="1" x14ac:dyDescent="0.3">
      <c r="E11" s="9"/>
    </row>
    <row r="12" spans="2:7" x14ac:dyDescent="0.3">
      <c r="E12" s="9"/>
    </row>
    <row r="13" spans="2:7" x14ac:dyDescent="0.3">
      <c r="E13" s="51"/>
    </row>
    <row r="14" spans="2:7" ht="15" thickBot="1" x14ac:dyDescent="0.35"/>
    <row r="15" spans="2:7" ht="15.6" thickTop="1" thickBot="1" x14ac:dyDescent="0.35">
      <c r="B15" s="60" t="str">
        <f>VLOOKUP("GASTOS: Gastos de Persoal",tabIdiomas[],MATCH('Hipóteses Xerais'!$D$2,tabIdiomas[#Headers]),FALSE)</f>
        <v>GASTOS: Gastos de Persoal</v>
      </c>
      <c r="C15" s="81" t="str">
        <f>VLOOKUP("Unidades",tabIdiomas[],MATCH('Hipóteses Xerais'!$D$2,tabIdiomas[#Headers]),FALSE)</f>
        <v>Unidades</v>
      </c>
      <c r="D15" s="75" t="str">
        <f>VLOOKUP("Retrib. Bruta Mensual",tabIdiomas[],MATCH('Hipóteses Xerais'!$D$2,tabIdiomas[#Headers]),FALSE)</f>
        <v>Retrib. Bruta Mensual</v>
      </c>
      <c r="E15" s="98"/>
    </row>
    <row r="16" spans="2:7" ht="15.6" thickTop="1" thickBot="1" x14ac:dyDescent="0.35">
      <c r="B16" s="99" t="str">
        <f>VLOOKUP("Número de Empregados a Xornada Completa Equivalentes",tabIdiomas[],MATCH('Hipóteses Xerais'!$D$2,tabIdiomas[#Headers]),FALSE)</f>
        <v>Número de Empregados a Xornada Completa Equivalentes</v>
      </c>
      <c r="C16" s="276">
        <f>'Expenses Hipotheses (INTRO)'!C16</f>
        <v>0.125</v>
      </c>
      <c r="D16" s="279">
        <f>'Expenses Hipotheses (INTRO)'!D16</f>
        <v>800</v>
      </c>
      <c r="E16" s="54"/>
      <c r="F16" s="110" t="str">
        <f>VLOOKUP("Realización das Labores de Xestión",tabIdiomas[],MATCH('Hipóteses Xerais'!$D$2,tabIdiomas[#Headers]),FALSE)</f>
        <v>Realización das Labores de Xestión</v>
      </c>
    </row>
    <row r="17" spans="1:6" x14ac:dyDescent="0.3">
      <c r="B17" s="93" t="str">
        <f>VLOOKUP("Seguridade Social a cargo da Empresa",tabIdiomas[],MATCH('Hipóteses Xerais'!$D$2,tabIdiomas[#Headers]),FALSE)</f>
        <v>Seguridade Social a cargo da Empresa</v>
      </c>
      <c r="C17" s="277">
        <f>'Expenses Hipotheses (INTRO)'!C17</f>
        <v>0.32</v>
      </c>
      <c r="D17" s="100"/>
      <c r="E17" s="54"/>
      <c r="F17" s="301" t="e">
        <f>INDEX(tabRespPreg112[Respuestas Pregunta],MATCH('Expenses Hipotheses (INTRO)'!F17,tabRespPreg112[Opciones mostradas],0),1)</f>
        <v>#N/A</v>
      </c>
    </row>
    <row r="18" spans="1:6" ht="15.6" thickTop="1" thickBot="1" x14ac:dyDescent="0.35">
      <c r="B18" s="101" t="str">
        <f>VLOOKUP("Outros gastos sociais",tabIdiomas[],MATCH('Hipóteses Xerais'!$D$2,tabIdiomas[#Headers]),FALSE)</f>
        <v>Outros gastos sociais</v>
      </c>
      <c r="C18" s="278">
        <f>'Expenses Hipotheses (INTRO)'!C18</f>
        <v>0</v>
      </c>
      <c r="D18" s="280">
        <f>'Expenses Hipotheses (INTRO)'!D18</f>
        <v>0</v>
      </c>
      <c r="E18" s="54"/>
    </row>
    <row r="19" spans="1:6" ht="15" thickTop="1" x14ac:dyDescent="0.3"/>
    <row r="23" spans="1:6" ht="15" thickBot="1" x14ac:dyDescent="0.35"/>
    <row r="24" spans="1:6" ht="15" thickTop="1" x14ac:dyDescent="0.3">
      <c r="B24" s="60" t="str">
        <f>VLOOKUP("GASTOS: Gastos en Servizos Exteriores (Excl. Outros Servicios)",tabIdiomas[],MATCH('Hipóteses Xerais'!$D$2,tabIdiomas[#Headers]),FALSE)</f>
        <v>GASTOS: Gastos en Servizos Exteriores (Excl. Outros Servicios)</v>
      </c>
      <c r="C24" s="81" t="str">
        <f>VLOOKUP("Unidades",tabIdiomas[],MATCH('Hipóteses Xerais'!$D$2,tabIdiomas[#Headers]),FALSE)</f>
        <v>Unidades</v>
      </c>
      <c r="D24" s="75" t="str">
        <f>VLOOKUP("Valor Unitario",tabIdiomas[],MATCH('Hipóteses Xerais'!$D$2,tabIdiomas[#Headers]),FALSE)</f>
        <v>Valor Unitario</v>
      </c>
      <c r="E24" s="55"/>
    </row>
    <row r="25" spans="1:6" x14ac:dyDescent="0.3">
      <c r="B25" s="67" t="str">
        <f>VLOOKUP("Arrendamentos e Cánones (Aluguer terreos)",tabIdiomas[],MATCH('Hipóteses Xerais'!$D$2,tabIdiomas[#Headers]),FALSE)</f>
        <v>Arrendamentos e Cánones (Aluguer terreos)</v>
      </c>
      <c r="C25" s="204"/>
      <c r="D25" s="281">
        <f>'Expenses Hipotheses (INTRO)'!D25</f>
        <v>1.2</v>
      </c>
      <c r="E25" s="54"/>
    </row>
    <row r="26" spans="1:6" x14ac:dyDescent="0.3">
      <c r="B26" s="68" t="str">
        <f>VLOOKUP("Reparacións e Mantemento das Instalacións",tabIdiomas[],MATCH('Hipóteses Xerais'!$D$2,tabIdiomas[#Headers]),FALSE)</f>
        <v>Reparacións e Mantemento das Instalacións</v>
      </c>
      <c r="C26" s="82"/>
      <c r="D26" s="83"/>
      <c r="E26" s="51"/>
    </row>
    <row r="27" spans="1:6" x14ac:dyDescent="0.3">
      <c r="A27" s="8"/>
      <c r="B27" s="69" t="str">
        <f>VLOOKUP("Reparación das Instalacións",tabIdiomas[],MATCH('Hipóteses Xerais'!$D$2,tabIdiomas[#Headers]),FALSE)</f>
        <v>Reparación das Instalacións</v>
      </c>
      <c r="C27" s="282">
        <f>'Expenses Hipotheses (INTRO)'!C27</f>
        <v>1</v>
      </c>
      <c r="D27" s="279">
        <f>'Expenses Hipotheses (INTRO)'!D27</f>
        <v>100</v>
      </c>
      <c r="E27" s="51"/>
    </row>
    <row r="28" spans="1:6" x14ac:dyDescent="0.3">
      <c r="A28" s="8"/>
      <c r="B28" s="69" t="str">
        <f>VLOOKUP("Mantemento das Instalacións",tabIdiomas[],MATCH('Hipóteses Xerais'!$D$2,tabIdiomas[#Headers]),FALSE)</f>
        <v>Mantemento das Instalacións</v>
      </c>
      <c r="C28" s="282">
        <f>'Expenses Hipotheses (INTRO)'!C28</f>
        <v>1</v>
      </c>
      <c r="D28" s="279">
        <f>'Expenses Hipotheses (INTRO)'!D28</f>
        <v>500</v>
      </c>
      <c r="E28" s="51"/>
    </row>
    <row r="29" spans="1:6" s="10" customFormat="1" ht="28.8" x14ac:dyDescent="0.3">
      <c r="B29" s="70" t="str">
        <f>VLOOKUP("Servicios de Profesionais Indep. (Notarios, Avogados, Rexistradores, Economistas, Asesores, etc.)",tabIdiomas[],MATCH('Hipóteses Xerais'!$D$2,tabIdiomas[#Headers]),FALSE)</f>
        <v>Servicios de Profesionais Indep. (Notarios, Avogados, Rexistradores, Economistas, Asesores, etc.)</v>
      </c>
      <c r="C29" s="82"/>
      <c r="D29" s="83"/>
      <c r="E29" s="56"/>
    </row>
    <row r="30" spans="1:6" x14ac:dyDescent="0.3">
      <c r="B30" s="71" t="str">
        <f>VLOOKUP("Gastos de Notaría e Rexistro",tabIdiomas[],MATCH('Hipóteses Xerais'!$D$2,tabIdiomas[#Headers]),FALSE)</f>
        <v>Gastos de Notaría e Rexistro</v>
      </c>
      <c r="C30" s="282">
        <f>'Expenses Hipotheses (INTRO)'!C30</f>
        <v>0</v>
      </c>
      <c r="D30" s="285">
        <f>'Expenses Hipotheses (INTRO)'!D30</f>
        <v>0</v>
      </c>
      <c r="E30" s="57"/>
    </row>
    <row r="31" spans="1:6" x14ac:dyDescent="0.3">
      <c r="B31" s="71" t="str">
        <f>VLOOKUP("Gastos de Asesoría Xurídica",tabIdiomas[],MATCH('Hipóteses Xerais'!$D$2,tabIdiomas[#Headers]),FALSE)</f>
        <v>Gastos de Asesoría Xurídica</v>
      </c>
      <c r="C31" s="282">
        <f>'Expenses Hipotheses (INTRO)'!C31</f>
        <v>0</v>
      </c>
      <c r="D31" s="285">
        <f>'Expenses Hipotheses (INTRO)'!D31</f>
        <v>0</v>
      </c>
      <c r="E31" s="57"/>
    </row>
    <row r="32" spans="1:6" x14ac:dyDescent="0.3">
      <c r="B32" s="71" t="str">
        <f>VLOOKUP("Gastos de Asesoramento Económico-Financeiro",tabIdiomas[],MATCH('Hipóteses Xerais'!$D$2,tabIdiomas[#Headers]),FALSE)</f>
        <v>Gastos de Asesoramento Económico-Financeiro</v>
      </c>
      <c r="C32" s="282">
        <f>'Expenses Hipotheses (INTRO)'!C32</f>
        <v>0</v>
      </c>
      <c r="D32" s="285">
        <f>'Expenses Hipotheses (INTRO)'!D32</f>
        <v>0</v>
      </c>
      <c r="E32" s="57"/>
    </row>
    <row r="33" spans="2:6" x14ac:dyDescent="0.3">
      <c r="B33" s="71" t="str">
        <f>VLOOKUP("Gastos de Asesoramento Técnico (Enxeñería)",tabIdiomas[],MATCH('Hipóteses Xerais'!$D$2,tabIdiomas[#Headers]),FALSE)</f>
        <v>Gastos de Asesoramento Técnico (Enxeñería)</v>
      </c>
      <c r="C33" s="282">
        <f>'Expenses Hipotheses (INTRO)'!C33</f>
        <v>0</v>
      </c>
      <c r="D33" s="285">
        <f>'Expenses Hipotheses (INTRO)'!D33</f>
        <v>0</v>
      </c>
      <c r="E33" s="57"/>
    </row>
    <row r="34" spans="2:6" x14ac:dyDescent="0.3">
      <c r="B34" s="68" t="str">
        <f>VLOOKUP("Transportes",tabIdiomas[],MATCH('Hipóteses Xerais'!$D$2,tabIdiomas[#Headers]),FALSE)</f>
        <v>Transportes</v>
      </c>
      <c r="C34" s="283">
        <f>'Expenses Hipotheses (INTRO)'!C34</f>
        <v>0</v>
      </c>
      <c r="D34" s="286">
        <f>'Expenses Hipotheses (INTRO)'!D34</f>
        <v>0</v>
      </c>
      <c r="E34" s="51"/>
    </row>
    <row r="35" spans="2:6" x14ac:dyDescent="0.3">
      <c r="B35" s="68" t="str">
        <f>VLOOKUP("Primas de Seguros (% do Investimento Inicial, Anual)",tabIdiomas[],MATCH('Hipóteses Xerais'!$D$2,tabIdiomas[#Headers]),FALSE)</f>
        <v>Primas de Seguros (% do Investimento Inicial, Anual)</v>
      </c>
      <c r="C35" s="284">
        <f>'Expenses Hipotheses (INTRO)'!C35</f>
        <v>0.02</v>
      </c>
      <c r="D35" s="85"/>
      <c r="E35" s="51"/>
    </row>
    <row r="36" spans="2:6" x14ac:dyDescent="0.3">
      <c r="B36" s="68" t="str">
        <f>VLOOKUP("Servizos Bancarios",tabIdiomas[],MATCH('Hipóteses Xerais'!$D$2,tabIdiomas[#Headers]),FALSE)</f>
        <v>Servizos Bancarios</v>
      </c>
      <c r="C36" s="283">
        <f>'Expenses Hipotheses (INTRO)'!C36</f>
        <v>4</v>
      </c>
      <c r="D36" s="287">
        <f>'Expenses Hipotheses (INTRO)'!D36</f>
        <v>60</v>
      </c>
      <c r="E36" s="51"/>
    </row>
    <row r="37" spans="2:6" x14ac:dyDescent="0.3">
      <c r="B37" s="68" t="str">
        <f>VLOOKUP("Publicidade, Propaganda e RR.PP.",tabIdiomas[],MATCH('Hipóteses Xerais'!$D$2,tabIdiomas[#Headers]),FALSE)</f>
        <v>Publicidade, Propaganda e RR.PP.</v>
      </c>
      <c r="C37" s="82"/>
      <c r="D37" s="86"/>
      <c r="E37" s="51"/>
    </row>
    <row r="38" spans="2:6" x14ac:dyDescent="0.3">
      <c r="B38" s="69" t="str">
        <f>VLOOKUP("Material e Actividades Publicitarias",tabIdiomas[],MATCH('Hipóteses Xerais'!$D$2,tabIdiomas[#Headers]),FALSE)</f>
        <v>Material e Actividades Publicitarias</v>
      </c>
      <c r="C38" s="288">
        <f>'Expenses Hipotheses (INTRO)'!C38</f>
        <v>0</v>
      </c>
      <c r="D38" s="279">
        <f>'Expenses Hipotheses (INTRO)'!D38</f>
        <v>0</v>
      </c>
      <c r="E38" s="54"/>
    </row>
    <row r="39" spans="2:6" x14ac:dyDescent="0.3">
      <c r="B39" s="69" t="str">
        <f>VLOOKUP("Actividades de Promoción",tabIdiomas[],MATCH('Hipóteses Xerais'!$D$2,tabIdiomas[#Headers]),FALSE)</f>
        <v>Actividades de Promoción</v>
      </c>
      <c r="C39" s="288">
        <f>'Expenses Hipotheses (INTRO)'!C39</f>
        <v>0</v>
      </c>
      <c r="D39" s="279">
        <f>'Expenses Hipotheses (INTRO)'!D39</f>
        <v>0</v>
      </c>
      <c r="E39" s="54"/>
    </row>
    <row r="40" spans="2:6" ht="15" thickBot="1" x14ac:dyDescent="0.35">
      <c r="B40" s="69" t="str">
        <f>VLOOKUP("Relacións Públicas",tabIdiomas[],MATCH('Hipóteses Xerais'!$D$2,tabIdiomas[#Headers]),FALSE)</f>
        <v>Relacións Públicas</v>
      </c>
      <c r="C40" s="288">
        <f>'Expenses Hipotheses (INTRO)'!C40</f>
        <v>0</v>
      </c>
      <c r="D40" s="279">
        <f>'Expenses Hipotheses (INTRO)'!D40</f>
        <v>0</v>
      </c>
      <c r="E40" s="54"/>
    </row>
    <row r="41" spans="2:6" ht="15.6" thickTop="1" thickBot="1" x14ac:dyDescent="0.35">
      <c r="B41" s="68" t="str">
        <f>VLOOKUP("Subministros",tabIdiomas[],MATCH('Hipóteses Xerais'!$D$2,tabIdiomas[#Headers]),FALSE)</f>
        <v>Subministros</v>
      </c>
      <c r="C41" s="82"/>
      <c r="D41" s="86"/>
      <c r="E41" s="51"/>
      <c r="F41" s="110" t="str">
        <f>VLOOKUP("Necesidade de Conexión a Internet, Propia (Si/Non)",tabIdiomas[],MATCH('Hipóteses Xerais'!$D$2,tabIdiomas[#Headers]),FALSE)</f>
        <v>Necesidade de Conexión a Internet, Propia (Si/Non)</v>
      </c>
    </row>
    <row r="42" spans="2:6" ht="15" thickBot="1" x14ac:dyDescent="0.35">
      <c r="B42" s="69" t="str">
        <f>VLOOKUP("Telefonía Fixa e/ou Móbil",tabIdiomas[],MATCH('Hipóteses Xerais'!$D$2,tabIdiomas[#Headers]),FALSE)</f>
        <v>Telefonía Fixa e/ou Móbil</v>
      </c>
      <c r="C42" s="289">
        <f>'Expenses Hipotheses (INTRO)'!C42</f>
        <v>0</v>
      </c>
      <c r="D42" s="279">
        <f>'Expenses Hipotheses (INTRO)'!D42</f>
        <v>30</v>
      </c>
      <c r="E42" s="54"/>
      <c r="F42" s="301" t="e">
        <f>INDEX(tabRespPreg15101314169[Respuestas Pregunta],MATCH('Expenses Hipotheses (INTRO)'!F42,tabRespPreg15101314169[Opciones mostradas],0),1)</f>
        <v>#N/A</v>
      </c>
    </row>
    <row r="43" spans="2:6" ht="15" thickTop="1" x14ac:dyDescent="0.3">
      <c r="B43" s="69" t="str">
        <f>VLOOKUP("Conexión a Internet",tabIdiomas[],MATCH('Hipóteses Xerais'!$D$2,tabIdiomas[#Headers]),FALSE)</f>
        <v>Conexión a Internet</v>
      </c>
      <c r="C43" s="289">
        <f>'Expenses Hipotheses (INTRO)'!C43</f>
        <v>12</v>
      </c>
      <c r="D43" s="279">
        <f>'Expenses Hipotheses (INTRO)'!D43</f>
        <v>30</v>
      </c>
      <c r="E43" s="54"/>
    </row>
    <row r="44" spans="2:6" x14ac:dyDescent="0.3">
      <c r="B44" s="69" t="str">
        <f>VLOOKUP("Subministro de Electricidade (Termo de Potencia)",tabIdiomas[],MATCH('Hipóteses Xerais'!$D$2,tabIdiomas[#Headers]),FALSE)</f>
        <v>Subministro de Electricidade (Termo de Potencia)</v>
      </c>
      <c r="C44" s="289">
        <f>'Expenses Hipotheses (INTRO)'!C44</f>
        <v>12</v>
      </c>
      <c r="D44" s="279">
        <f>'Expenses Hipotheses (INTRO)'!D44</f>
        <v>12.87</v>
      </c>
      <c r="E44" s="54"/>
    </row>
    <row r="45" spans="2:6" x14ac:dyDescent="0.3">
      <c r="B45" s="69" t="str">
        <f>VLOOKUP("Subministro de Electricidade (Termo de Enerxía e Outros)",tabIdiomas[],MATCH('Hipóteses Xerais'!$D$2,tabIdiomas[#Headers]),FALSE)</f>
        <v>Subministro de Electricidade (Termo de Enerxía e Outros)</v>
      </c>
      <c r="C45" s="289">
        <f>'Expenses Hipotheses (INTRO)'!C45</f>
        <v>12</v>
      </c>
      <c r="D45" s="279">
        <f>'Expenses Hipotheses (INTRO)'!D45</f>
        <v>13</v>
      </c>
      <c r="E45" s="54"/>
    </row>
    <row r="46" spans="2:6" ht="15" thickBot="1" x14ac:dyDescent="0.35">
      <c r="B46" s="72" t="str">
        <f>VLOOKUP("Subministro de Auga Corrente",tabIdiomas[],MATCH('Hipóteses Xerais'!$D$2,tabIdiomas[#Headers]),FALSE)</f>
        <v>Subministro de Auga Corrente</v>
      </c>
      <c r="C46" s="290">
        <f>'Expenses Hipotheses (INTRO)'!C46</f>
        <v>0</v>
      </c>
      <c r="D46" s="280">
        <f>'Expenses Hipotheses (INTRO)'!D46</f>
        <v>25</v>
      </c>
      <c r="E46" s="54"/>
    </row>
    <row r="47" spans="2:6" ht="15.6" thickTop="1" thickBot="1" x14ac:dyDescent="0.35">
      <c r="E47" s="58"/>
    </row>
    <row r="48" spans="2:6" ht="15" thickTop="1" x14ac:dyDescent="0.3">
      <c r="B48" s="73" t="str">
        <f>VLOOKUP("Desglose de Gastos en Asesoramento e Xestoría (Outros Servizos)",tabIdiomas[],MATCH('Hipóteses Xerais'!$D$2,tabIdiomas[#Headers]),FALSE)</f>
        <v>Desglose de Gastos en Asesoramento e Xestoría (Outros Servizos)</v>
      </c>
      <c r="C48" s="74" t="str">
        <f>VLOOKUP("Imp. Mens. Por Socio (€)",tabIdiomas[],MATCH('Hipóteses Xerais'!$D$2,tabIdiomas[#Headers]),FALSE)</f>
        <v>Imp. Mens. Por Socio (€)</v>
      </c>
      <c r="D48" s="75" t="str">
        <f>VLOOKUP("Importe Mensual (€)",tabIdiomas[],MATCH('Hipóteses Xerais'!$D$2,tabIdiomas[#Headers]),FALSE)</f>
        <v>Importe Mensual (€)</v>
      </c>
      <c r="E48" s="54"/>
    </row>
    <row r="49" spans="2:8" x14ac:dyDescent="0.3">
      <c r="B49" s="76" t="str">
        <f>VLOOKUP("Xestión da Entidade (Ata 25 Socios)",tabIdiomas[],MATCH('Hipóteses Xerais'!$D$2,tabIdiomas[#Headers]),FALSE)</f>
        <v>Xestión da Entidade (Ata 25 Socios)</v>
      </c>
      <c r="C49" s="103"/>
      <c r="D49" s="292">
        <f>'Expenses Hipotheses (INTRO)'!D49</f>
        <v>60</v>
      </c>
      <c r="E49" s="54"/>
      <c r="F49" s="13"/>
    </row>
    <row r="50" spans="2:8" x14ac:dyDescent="0.3">
      <c r="B50" s="76" t="str">
        <f>VLOOKUP("Monitoring Socios",tabIdiomas[],MATCH('Hipóteses Xerais'!$D$2,tabIdiomas[#Headers]),FALSE)</f>
        <v>Monitoring Socios</v>
      </c>
      <c r="C50" s="291">
        <f>'Expenses Hipotheses (INTRO)'!C50</f>
        <v>1.5</v>
      </c>
      <c r="D50" s="105"/>
      <c r="E50" s="59"/>
      <c r="F50" s="64"/>
      <c r="G50" s="65"/>
      <c r="H50" s="65"/>
    </row>
    <row r="51" spans="2:8" ht="15" thickBot="1" x14ac:dyDescent="0.35">
      <c r="B51" s="79" t="str">
        <f>VLOOKUP("Asesoramento Contable, Fiscal e Outros",tabIdiomas[],MATCH('Hipóteses Xerais'!$D$2,tabIdiomas[#Headers]),FALSE)</f>
        <v>Asesoramento Contable, Fiscal e Outros</v>
      </c>
      <c r="C51" s="104"/>
      <c r="D51" s="293">
        <f>'Expenses Hipotheses (INTRO)'!D51</f>
        <v>30</v>
      </c>
      <c r="E51" s="12"/>
    </row>
    <row r="52" spans="2:8" ht="15.6" thickTop="1" thickBot="1" x14ac:dyDescent="0.35">
      <c r="B52" s="13"/>
      <c r="E52" s="12"/>
    </row>
    <row r="53" spans="2:8" ht="28.8" thickTop="1" thickBot="1" x14ac:dyDescent="0.35">
      <c r="B53" s="111" t="str">
        <f>VLOOKUP("Aplicabilidade do Epígrafe de Gasto 'Gastos Xerais Non Incluídos en Epígrafes Previos' (Mín. Outros Servizos = 5% s/ Cifra de Negocios)",tabIdiomas[],MATCH('Hipóteses Xerais'!$D$2,tabIdiomas[#Headers]),FALSE)</f>
        <v>Aplicabilidade do Epígrafe de Gasto 'Gastos Xerais Non Incluídos en Epígrafes Previos' (Mín. Outros Servizos = 5% s/ Cifra de Negocios)</v>
      </c>
      <c r="E53" s="12"/>
    </row>
    <row r="54" spans="2:8" ht="15" thickBot="1" x14ac:dyDescent="0.35">
      <c r="B54" s="301" t="e">
        <f>INDEX(tabRespPreg15101314161117[Respuestas Pregunta],MATCH('Expenses Hipotheses (INTRO)'!B54,tabRespPreg15101314161117[Opciones mostradas],0),1)</f>
        <v>#N/A</v>
      </c>
      <c r="E54" s="12"/>
      <c r="F54" s="63"/>
      <c r="G54" s="63"/>
      <c r="H54" s="11"/>
    </row>
    <row r="55" spans="2:8" ht="15.6" thickTop="1" thickBot="1" x14ac:dyDescent="0.35">
      <c r="B55" s="14"/>
      <c r="E55" s="12"/>
      <c r="F55" s="63"/>
      <c r="G55" s="63"/>
      <c r="H55" s="11"/>
    </row>
    <row r="56" spans="2:8" ht="15.6" thickTop="1" thickBot="1" x14ac:dyDescent="0.35">
      <c r="B56" s="111" t="str">
        <f>VLOOKUP("Amortización Considerada Como Custo (Si/Non)",tabIdiomas[],MATCH('Hipóteses Xerais'!$D$2,tabIdiomas[#Headers]),FALSE)</f>
        <v>Amortización Considerada Como Custo (Si/Non)</v>
      </c>
      <c r="E56" s="12"/>
      <c r="F56" s="63"/>
      <c r="G56" s="63"/>
      <c r="H56" s="11"/>
    </row>
    <row r="57" spans="2:8" ht="15" thickBot="1" x14ac:dyDescent="0.35">
      <c r="B57" s="301" t="e">
        <f>INDEX(tabRespPreg1510131416111718[Respuestas Pregunta],MATCH('Expenses Hipotheses (INTRO)'!B57,tabRespPreg1510131416111718[Opciones mostradas],0),1)</f>
        <v>#N/A</v>
      </c>
      <c r="E57" s="12"/>
      <c r="F57" s="63"/>
      <c r="G57" s="63"/>
      <c r="H57" s="11"/>
    </row>
    <row r="58" spans="2:8" ht="15" thickTop="1" x14ac:dyDescent="0.3">
      <c r="B58" s="13"/>
      <c r="E58" s="12"/>
    </row>
    <row r="59" spans="2:8" s="10" customFormat="1" ht="28.2" thickBot="1" x14ac:dyDescent="0.35">
      <c r="B59" s="175" t="str">
        <f>VLOOKUP("Garantías, Taxas Autonómicas, Municipais e Outras Obrigas Tributarias",tabIdiomas[],MATCH('Hipóteses Xerais'!$D$2,tabIdiomas[#Headers]),FALSE)</f>
        <v>Garantías, Taxas Autonómicas, Municipais e Outras Obrigas Tributarias</v>
      </c>
      <c r="C59" s="149" t="str">
        <f>VLOOKUP("Base Impoñible",tabIdiomas[],MATCH('Hipóteses Xerais'!$D$2,tabIdiomas[#Headers]),FALSE)</f>
        <v>Base Impoñible</v>
      </c>
      <c r="D59" s="149" t="str">
        <f>VLOOKUP("Tipo de Gravame",tabIdiomas[],MATCH('Hipóteses Xerais'!$D$2,tabIdiomas[#Headers]),FALSE)</f>
        <v>Tipo de Gravame</v>
      </c>
      <c r="E59" s="149" t="str">
        <f>VLOOKUP("Cota Tributaria Íntegra",tabIdiomas[],MATCH('Hipóteses Xerais'!$D$2,tabIdiomas[#Headers]),FALSE)</f>
        <v>Cota Tributaria Íntegra</v>
      </c>
      <c r="F59" s="149" t="str">
        <f>VLOOKUP("Deduc. Ou Bonif. sobre a Cota",tabIdiomas[],MATCH('Hipóteses Xerais'!$D$2,tabIdiomas[#Headers]),FALSE)</f>
        <v>Deduc. Ou Bonif. sobre a Cota</v>
      </c>
      <c r="G59" s="163" t="str">
        <f>VLOOKUP("Aplicabilidade",tabIdiomas[],MATCH('Hipóteses Xerais'!$D$2,tabIdiomas[#Headers]),FALSE)</f>
        <v>Aplicabilidade</v>
      </c>
      <c r="H59" s="164"/>
    </row>
    <row r="60" spans="2:8" ht="28.8" x14ac:dyDescent="0.3">
      <c r="B60" s="153" t="str">
        <f>VLOOKUP("Garantía Económica para Tramitación da Solicitude de Acceso e Conexión á Rede (40€/KW)",tabIdiomas[],MATCH('Hipóteses Xerais'!$D$2,tabIdiomas[#Headers]),FALSE)</f>
        <v>Garantía Económica para Tramitación da Solicitude de Acceso e Conexión á Rede (40€/KW)</v>
      </c>
      <c r="C60" s="158"/>
      <c r="D60" s="294">
        <f>'Expenses Hipotheses (INTRO)'!D60</f>
        <v>40</v>
      </c>
      <c r="E60" s="159"/>
      <c r="F60" s="298">
        <f>'Expenses Hipotheses (INTRO)'!F60</f>
        <v>0</v>
      </c>
      <c r="G60" s="302" t="e">
        <f>INDEX(tabRespPreg151013141611171819[Respuestas Pregunta],MATCH('Expenses Hipotheses (INTRO)'!G60,tabRespPreg151013141611171819[Opciones mostradas],0),1)</f>
        <v>#N/A</v>
      </c>
      <c r="H60" s="165"/>
    </row>
    <row r="61" spans="2:8" ht="28.8" x14ac:dyDescent="0.3">
      <c r="B61" s="152" t="str">
        <f>VLOOKUP("Taxa Autonómica por Inscrición en Rexistros Oficiais -Primeira Inscrición- (30.02.00 Anexo 1)",tabIdiomas[],MATCH('Hipóteses Xerais'!$D$2,tabIdiomas[#Headers]),FALSE)</f>
        <v>Taxa Autonómica por Inscrición en Rexistros Oficiais -Primeira Inscrición- (30.02.00 Anexo 1)</v>
      </c>
      <c r="C61" s="156"/>
      <c r="D61" s="156"/>
      <c r="E61" s="295">
        <f>'Expenses Hipotheses (INTRO)'!E61</f>
        <v>10.47</v>
      </c>
      <c r="F61" s="295">
        <f>'Expenses Hipotheses (INTRO)'!F61</f>
        <v>0</v>
      </c>
      <c r="G61" s="303" t="e">
        <f>INDEX(tabRespPreg15101314161117181921[Respuestas Pregunta],MATCH('Expenses Hipotheses (INTRO)'!G61,tabRespPreg15101314161117181921[Opciones mostradas],0),1)</f>
        <v>#N/A</v>
      </c>
      <c r="H61" s="165"/>
    </row>
    <row r="62" spans="2:8" ht="28.8" hidden="1" x14ac:dyDescent="0.3">
      <c r="B62" s="150" t="s">
        <v>13</v>
      </c>
      <c r="C62" s="157"/>
      <c r="D62" s="157"/>
      <c r="E62" s="160">
        <v>2709.61</v>
      </c>
      <c r="F62" s="160">
        <v>0</v>
      </c>
      <c r="G62" s="167" t="s">
        <v>12</v>
      </c>
      <c r="H62" s="165"/>
    </row>
    <row r="63" spans="2:8" ht="28.8" hidden="1" x14ac:dyDescent="0.3">
      <c r="B63" s="150" t="s">
        <v>14</v>
      </c>
      <c r="C63" s="157"/>
      <c r="D63" s="157"/>
      <c r="E63" s="160">
        <f>IF('Hipóteses xerais (2)'!$C$17&gt;100,(90+('Hipóteses xerais (2)'!$C$17*0.05)),97.54)</f>
        <v>97.54</v>
      </c>
      <c r="F63" s="160">
        <v>0</v>
      </c>
      <c r="G63" s="167" t="s">
        <v>12</v>
      </c>
      <c r="H63" s="165"/>
    </row>
    <row r="64" spans="2:8" ht="29.4" hidden="1" thickBot="1" x14ac:dyDescent="0.35">
      <c r="B64" s="154" t="s">
        <v>15</v>
      </c>
      <c r="C64" s="155"/>
      <c r="D64" s="155"/>
      <c r="E64" s="162" t="e">
        <f>IF('Hipóteses xerais (2)'!$C$19&gt;60000,(191.25+(7.97*('Hipóteses xerais (2)'!$C$19-60000)/6000)),191.25)</f>
        <v>#N/A</v>
      </c>
      <c r="F64" s="161">
        <v>0</v>
      </c>
      <c r="G64" s="168" t="s">
        <v>12</v>
      </c>
      <c r="H64" s="165"/>
    </row>
    <row r="65" spans="2:8" x14ac:dyDescent="0.3">
      <c r="B65" s="152" t="str">
        <f>VLOOKUP("Taxa por Licencia Urbanística (Municipal)",tabIdiomas[],MATCH('Hipóteses Xerais'!$D$2,tabIdiomas[#Headers]),FALSE)</f>
        <v>Taxa por Licencia Urbanística (Municipal)</v>
      </c>
      <c r="C65" s="205"/>
      <c r="D65" s="206"/>
      <c r="E65" s="296">
        <f>'Expenses Hipotheses (INTRO)'!E65</f>
        <v>0</v>
      </c>
      <c r="F65" s="295">
        <f>'Expenses Hipotheses (INTRO)'!F65</f>
        <v>0</v>
      </c>
      <c r="G65" s="304" t="e">
        <f>INDEX(tabRespPreg1510131416111718192122[Respuestas Pregunta],MATCH('Expenses Hipotheses (INTRO)'!G65,tabRespPreg1510131416111718192122[Opciones mostradas],0),1)</f>
        <v>#N/A</v>
      </c>
      <c r="H65" s="166"/>
    </row>
    <row r="66" spans="2:8" x14ac:dyDescent="0.3">
      <c r="B66" s="150" t="str">
        <f>VLOOKUP("Imposto sobre Construccións, Instalacións e Obras",tabIdiomas[],MATCH('Hipóteses Xerais'!$D$2,tabIdiomas[#Headers]),FALSE)</f>
        <v>Imposto sobre Construccións, Instalacións e Obras</v>
      </c>
      <c r="C66" s="207"/>
      <c r="D66" s="89"/>
      <c r="E66" s="297">
        <f>'Expenses Hipotheses (INTRO)'!E66</f>
        <v>0</v>
      </c>
      <c r="F66" s="299">
        <f>'Expenses Hipotheses (INTRO)'!F66</f>
        <v>0</v>
      </c>
      <c r="G66" s="305" t="e">
        <f>INDEX(tabRespPreg151013141611171819212223[Respuestas Pregunta],MATCH('Expenses Hipotheses (INTRO)'!G66,tabRespPreg151013141611171819212223[Opciones mostradas],0),1)</f>
        <v>#N/A</v>
      </c>
      <c r="H66" s="166"/>
    </row>
    <row r="67" spans="2:8" x14ac:dyDescent="0.3">
      <c r="B67" s="150" t="str">
        <f>VLOOKUP("Taxa por Obtención de Licencia de Actividade",tabIdiomas[],MATCH('Hipóteses Xerais'!$D$2,tabIdiomas[#Headers]),FALSE)</f>
        <v>Taxa por Obtención de Licencia de Actividade</v>
      </c>
      <c r="C67" s="207"/>
      <c r="D67" s="89"/>
      <c r="E67" s="297">
        <f>'Expenses Hipotheses (INTRO)'!E67</f>
        <v>0</v>
      </c>
      <c r="F67" s="299">
        <f>'Expenses Hipotheses (INTRO)'!F67</f>
        <v>0</v>
      </c>
      <c r="G67" s="305" t="e">
        <f>INDEX(tabRespPreg15101314161117181921222324[Respuestas Pregunta],MATCH('Expenses Hipotheses (INTRO)'!G67,tabRespPreg15101314161117181921222324[Opciones mostradas],0),1)</f>
        <v>#N/A</v>
      </c>
      <c r="H67" s="166"/>
    </row>
    <row r="68" spans="2:8" ht="15" thickBot="1" x14ac:dyDescent="0.35">
      <c r="B68" s="151" t="str">
        <f>VLOOKUP("Outras Obrigas Tributarias",tabIdiomas[],MATCH('Hipóteses Xerais'!$D$2,tabIdiomas[#Headers]),FALSE)</f>
        <v>Outras Obrigas Tributarias</v>
      </c>
      <c r="C68" s="208"/>
      <c r="D68" s="209"/>
      <c r="E68" s="278">
        <f>'Expenses Hipotheses (INTRO)'!E68</f>
        <v>0</v>
      </c>
      <c r="F68" s="300">
        <f>'Expenses Hipotheses (INTRO)'!F68</f>
        <v>0</v>
      </c>
      <c r="G68" s="306" t="e">
        <f>INDEX(tabRespPreg1510131416111718192122232425[Respuestas Pregunta],MATCH('Expenses Hipotheses (INTRO)'!G68,tabRespPreg1510131416111718192122232425[Opciones mostradas],0),1)</f>
        <v>#N/A</v>
      </c>
      <c r="H68" s="166"/>
    </row>
    <row r="69" spans="2:8" ht="15" thickTop="1" x14ac:dyDescent="0.3"/>
    <row r="70" spans="2:8" ht="15" thickBot="1" x14ac:dyDescent="0.35"/>
    <row r="71" spans="2:8" ht="15.6" thickTop="1" thickBot="1" x14ac:dyDescent="0.35">
      <c r="C71" s="73" t="str">
        <f>VLOOKUP("Unidades",tabIdiomas[],MATCH('Hipóteses Xerais'!$D$2,tabIdiomas[#Headers]),FALSE)</f>
        <v>Unidades</v>
      </c>
      <c r="D71" s="75" t="str">
        <f>VLOOKUP("Valor Unitario",tabIdiomas[],MATCH('Hipóteses Xerais'!$D$2,tabIdiomas[#Headers]),FALSE)</f>
        <v>Valor Unitario</v>
      </c>
    </row>
    <row r="72" spans="2:8" ht="15.6" thickTop="1" thickBot="1" x14ac:dyDescent="0.35">
      <c r="B72" s="146" t="str">
        <f>VLOOKUP("Outras Perdas en Xestión Corrente",tabIdiomas[],MATCH('Hipóteses Xerais'!$D$2,tabIdiomas[#Headers]),FALSE)</f>
        <v>Outras Perdas en Xestión Corrente</v>
      </c>
      <c r="C72" s="290">
        <f>'Expenses Hipotheses (INTRO)'!C72</f>
        <v>10</v>
      </c>
      <c r="D72" s="280">
        <f>'Expenses Hipotheses (INTRO)'!D72</f>
        <v>5</v>
      </c>
    </row>
    <row r="73" spans="2:8" ht="15" thickTop="1" x14ac:dyDescent="0.3"/>
    <row r="76" spans="2:8" x14ac:dyDescent="0.3">
      <c r="E76" s="145"/>
    </row>
    <row r="78" spans="2:8" x14ac:dyDescent="0.3">
      <c r="B78" s="147"/>
      <c r="C78" s="148"/>
    </row>
    <row r="88" spans="2:9" x14ac:dyDescent="0.3">
      <c r="B88" s="65"/>
      <c r="C88" s="169"/>
      <c r="D88" s="169"/>
      <c r="E88" s="170"/>
      <c r="F88" s="169"/>
      <c r="G88" s="65"/>
    </row>
    <row r="89" spans="2:9" x14ac:dyDescent="0.3">
      <c r="B89" s="171"/>
      <c r="C89" s="172"/>
      <c r="D89" s="172"/>
      <c r="E89" s="173"/>
      <c r="F89" s="173"/>
      <c r="G89" s="173"/>
      <c r="H89" s="172"/>
      <c r="I89" s="173"/>
    </row>
    <row r="91" spans="2:9" x14ac:dyDescent="0.3">
      <c r="B91" s="173"/>
      <c r="C91" s="173"/>
      <c r="D91" s="173"/>
      <c r="E91" s="173"/>
      <c r="F91" s="173"/>
      <c r="G91" s="173"/>
    </row>
    <row r="93" spans="2:9" x14ac:dyDescent="0.3">
      <c r="B93" s="98"/>
      <c r="G93" s="174"/>
    </row>
  </sheetData>
  <protectedRanges>
    <protectedRange sqref="C5:D10 C16:C18 D16 D18 F5 F17 D25 C27:D28 C30:D34 C35:C36 D36 C38:D40 C42:D46 F42 D49 C50 D51 B54 B57 D60 E61:E68 C64:D68 F60:G68 C72:D72" name="Gastos"/>
  </protectedRanges>
  <printOptions horizontalCentered="1" verticalCentered="1"/>
  <pageMargins left="0.70866141732283472" right="0.70866141732283472" top="0.15748031496062992" bottom="0.15748031496062992" header="0.31496062992125984" footer="0.31496062992125984"/>
  <pageSetup paperSize="9" scale="6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DDAD-511C-42CB-8AF4-0B9302855437}">
  <sheetPr>
    <tabColor theme="4" tint="0.39997558519241921"/>
  </sheetPr>
  <dimension ref="A1:I246"/>
  <sheetViews>
    <sheetView topLeftCell="C213" zoomScaleNormal="100" workbookViewId="0">
      <selection activeCell="C245" sqref="C245:C246"/>
    </sheetView>
  </sheetViews>
  <sheetFormatPr baseColWidth="10" defaultColWidth="11.44140625" defaultRowHeight="14.4" x14ac:dyDescent="0.3"/>
  <cols>
    <col min="1" max="1" width="14.44140625" hidden="1" customWidth="1"/>
    <col min="2" max="2" width="11.44140625" hidden="1" customWidth="1"/>
    <col min="3" max="3" width="68.33203125" customWidth="1"/>
    <col min="4" max="4" width="18.6640625" customWidth="1"/>
    <col min="5" max="5" width="25.77734375" style="10" customWidth="1"/>
    <col min="6" max="6" width="14.44140625" bestFit="1" customWidth="1"/>
    <col min="7" max="7" width="15.44140625" bestFit="1" customWidth="1"/>
    <col min="9" max="9" width="12.77734375" bestFit="1" customWidth="1"/>
  </cols>
  <sheetData>
    <row r="1" spans="1:7" ht="15" thickBot="1" x14ac:dyDescent="0.35"/>
    <row r="2" spans="1:7" ht="15.6" thickTop="1" thickBot="1" x14ac:dyDescent="0.35">
      <c r="C2" s="13" t="str">
        <f>VLOOKUP("CONTA DE EXPLOTACIÓN",tabIdiomas26[],MATCH($G$2,tabIdiomas26[#Headers]),FALSE)</f>
        <v>Operating Account</v>
      </c>
      <c r="F2" s="229" t="str">
        <f>VLOOKUP("Lingua",tabIdiomas26[],MATCH($G$2,tabIdiomas26[#Headers]),FALSE)</f>
        <v>Language</v>
      </c>
      <c r="G2" s="230" t="s">
        <v>22</v>
      </c>
    </row>
    <row r="3" spans="1:7" ht="15.6" thickTop="1" thickBot="1" x14ac:dyDescent="0.35">
      <c r="B3" s="145"/>
    </row>
    <row r="4" spans="1:7" s="747" customFormat="1" ht="15.6" thickTop="1" thickBot="1" x14ac:dyDescent="0.35">
      <c r="A4" s="731"/>
      <c r="B4" s="701"/>
      <c r="C4" s="60"/>
      <c r="D4" s="1901" t="str">
        <f>VLOOKUP("Número de Ano",tabIdiomas26[],MATCH($G$2,tabIdiomas26[#Headers]),FALSE)</f>
        <v>Year Number</v>
      </c>
      <c r="E4" s="1902">
        <v>1</v>
      </c>
    </row>
    <row r="5" spans="1:7" s="747" customFormat="1" ht="29.4" thickBot="1" x14ac:dyDescent="0.35">
      <c r="B5" s="749" t="s">
        <v>916</v>
      </c>
      <c r="C5" s="1899" t="str">
        <f>VLOOKUP("INGRESOS",tabIdiomas26[],MATCH($G$2,tabIdiomas26[#Headers]),FALSE)</f>
        <v>INCOME</v>
      </c>
      <c r="D5" s="1900" t="str">
        <f>VLOOKUP("Ano Natural",tabIdiomas26[],MATCH($G$2,tabIdiomas26[#Headers]),FALSE)</f>
        <v>Natural Year</v>
      </c>
      <c r="E5" s="1898">
        <v>2025</v>
      </c>
    </row>
    <row r="6" spans="1:7" ht="15" thickTop="1" x14ac:dyDescent="0.3">
      <c r="A6" s="682"/>
      <c r="B6">
        <v>7050010</v>
      </c>
      <c r="C6" s="1848" t="str">
        <f>VLOOKUP("Ingresos por Enerxía Autoconsumida",tabIdiomas26[],MATCH($G$2,tabIdiomas26[#Headers]),FALSE)</f>
        <v>Revenues from Self-Consumed Energy</v>
      </c>
      <c r="D6" s="1849"/>
      <c r="E6" s="1734">
        <v>4466</v>
      </c>
    </row>
    <row r="7" spans="1:7" s="10" customFormat="1" x14ac:dyDescent="0.3">
      <c r="A7" s="746"/>
      <c r="B7" s="10">
        <v>7050020</v>
      </c>
      <c r="C7" s="1834" t="str">
        <f>VLOOKUP("Ingresos por Enerxía Excedentaria Suxeita a Compensación",tabIdiomas26[],MATCH($G$2,tabIdiomas26[#Headers]),FALSE)</f>
        <v>Revenues from Excedentary Energy Subject to Energy Compensation</v>
      </c>
      <c r="D7" s="1841"/>
      <c r="E7" s="1734">
        <v>2233</v>
      </c>
    </row>
    <row r="8" spans="1:7" s="10" customFormat="1" x14ac:dyDescent="0.3">
      <c r="A8" s="746"/>
      <c r="B8" s="10">
        <v>7050030</v>
      </c>
      <c r="C8" s="1835" t="str">
        <f>VLOOKUP("Ingresos por Enerxía Excedentaria Vendida",tabIdiomas26[],MATCH($G$2,tabIdiomas26[#Headers]),FALSE)</f>
        <v>Revenues from Excedentary Energy Sold</v>
      </c>
      <c r="D8" s="1842"/>
      <c r="E8" s="1734">
        <v>0</v>
      </c>
    </row>
    <row r="9" spans="1:7" s="63" customFormat="1" hidden="1" x14ac:dyDescent="0.3">
      <c r="C9" s="1836" t="s">
        <v>910</v>
      </c>
      <c r="D9" s="1843">
        <f>SUM(D6:D8)</f>
        <v>0</v>
      </c>
      <c r="E9" s="1733">
        <f>SUM(E6:E8)</f>
        <v>6699</v>
      </c>
    </row>
    <row r="10" spans="1:7" s="63" customFormat="1" ht="15" thickBot="1" x14ac:dyDescent="0.35">
      <c r="B10">
        <v>7050040</v>
      </c>
      <c r="C10" s="1835" t="str">
        <f>VLOOKUP("Cota Extraordinaria Inicial (Só Primeiro Ano)",tabIdiomas26[],MATCH($G$2,tabIdiomas26[#Headers]),FALSE)</f>
        <v>Extraordinary Initial Membership Fee (Only for the First Year)</v>
      </c>
      <c r="D10" s="1842"/>
      <c r="E10" s="1734">
        <v>0</v>
      </c>
    </row>
    <row r="11" spans="1:7" s="63" customFormat="1" ht="15" thickBot="1" x14ac:dyDescent="0.35">
      <c r="B11">
        <v>7050041</v>
      </c>
      <c r="C11" s="1837" t="str">
        <f>VLOOKUP("Cotas de Socios",tabIdiomas26[],MATCH($G$2,tabIdiomas26[#Headers]),FALSE)</f>
        <v>Membership Fees</v>
      </c>
      <c r="D11" s="1844"/>
      <c r="E11" s="1734">
        <v>2470.4699999999998</v>
      </c>
    </row>
    <row r="12" spans="1:7" s="63" customFormat="1" x14ac:dyDescent="0.3">
      <c r="B12">
        <v>7050050</v>
      </c>
      <c r="C12" s="1838" t="str">
        <f>VLOOKUP("Ingresos por Prestación Doutros Servizos Complementarios aos Socios",tabIdiomas26[],MATCH($G$2,tabIdiomas26[#Headers]),FALSE)</f>
        <v>Income Deriving from Other Complementary Services provided to the Partners</v>
      </c>
      <c r="D12" s="1845"/>
      <c r="E12" s="1734">
        <v>0</v>
      </c>
    </row>
    <row r="13" spans="1:7" s="172" customFormat="1" hidden="1" x14ac:dyDescent="0.3">
      <c r="A13" s="742"/>
      <c r="C13" s="1839" t="str">
        <f>'Estim. Ingresos'!$A37</f>
        <v>Total Ingresos por Cotas de Socios e Outros Servizos Complementarios</v>
      </c>
      <c r="D13" s="1846">
        <f t="shared" ref="D13" si="0">SUM(D10:D12)</f>
        <v>0</v>
      </c>
      <c r="E13" s="1733">
        <f>SUM(E10:E12)</f>
        <v>2470.4699999999998</v>
      </c>
      <c r="G13" s="173"/>
    </row>
    <row r="14" spans="1:7" s="10" customFormat="1" ht="15" thickBot="1" x14ac:dyDescent="0.35">
      <c r="A14" s="739"/>
      <c r="B14" s="10">
        <v>746</v>
      </c>
      <c r="C14" s="1840" t="str">
        <f>VLOOKUP("Subvencións de Capital Transferidas ao Resultado do Exercicio (Imputación anual)",tabIdiomas26[],MATCH($G$2,tabIdiomas26[#Headers]),FALSE)</f>
        <v>Capital Grants Transferred to the Financial Year Result (Annual Attribution)</v>
      </c>
      <c r="D14" s="1847"/>
      <c r="E14" s="1735">
        <v>1680</v>
      </c>
      <c r="G14" s="644"/>
    </row>
    <row r="15" spans="1:7" s="13" customFormat="1" ht="15" hidden="1" thickBot="1" x14ac:dyDescent="0.35">
      <c r="A15" s="174">
        <f>SUM(E13:E13)</f>
        <v>2470.4699999999998</v>
      </c>
      <c r="C15" s="738" t="s">
        <v>908</v>
      </c>
      <c r="D15" s="174">
        <f t="shared" ref="D15" si="1">D9+D13+D14</f>
        <v>0</v>
      </c>
      <c r="E15" s="717">
        <f>E9+E13+E14</f>
        <v>10849.47</v>
      </c>
      <c r="G15" s="174"/>
    </row>
    <row r="16" spans="1:7" ht="15.6" thickTop="1" thickBot="1" x14ac:dyDescent="0.35">
      <c r="A16">
        <v>0.05</v>
      </c>
      <c r="B16" s="13"/>
      <c r="C16" s="1850" t="str">
        <f>VLOOKUP("GASTOS",tabIdiomas26[],MATCH($G$2,tabIdiomas26[#Headers]),FALSE)</f>
        <v>EXPENSES</v>
      </c>
      <c r="D16" s="1851"/>
      <c r="E16" s="1852">
        <f>$E$5</f>
        <v>2025</v>
      </c>
    </row>
    <row r="17" spans="2:5" ht="15" thickTop="1" x14ac:dyDescent="0.3">
      <c r="B17">
        <v>602</v>
      </c>
      <c r="C17" s="1838" t="str">
        <f>VLOOKUP("Compras de Outros Aprovisionamentos",tabIdiomas26[],MATCH($G$2,tabIdiomas26[#Headers]),FALSE)</f>
        <v>Other Supplies Purchases</v>
      </c>
      <c r="D17" s="1845"/>
      <c r="E17" s="1779">
        <v>0</v>
      </c>
    </row>
    <row r="18" spans="2:5" x14ac:dyDescent="0.3">
      <c r="B18">
        <v>607</v>
      </c>
      <c r="C18" s="1839" t="str">
        <f>VLOOKUP("Traballos realizados por Outras Empresas",tabIdiomas26[],MATCH($G$2,tabIdiomas26[#Headers]),FALSE)</f>
        <v>Works Done by Other Companies</v>
      </c>
      <c r="D18" s="1846"/>
      <c r="E18" s="1780">
        <v>0</v>
      </c>
    </row>
    <row r="19" spans="2:5" s="13" customFormat="1" hidden="1" x14ac:dyDescent="0.3">
      <c r="B19" s="13">
        <v>60</v>
      </c>
      <c r="C19" s="730" t="s">
        <v>905</v>
      </c>
      <c r="D19" s="174">
        <f t="shared" ref="D19" si="2">SUM(D17:D18)</f>
        <v>0</v>
      </c>
      <c r="E19" s="717">
        <f>SUM(E17:E18)</f>
        <v>0</v>
      </c>
    </row>
    <row r="20" spans="2:5" ht="15" thickBot="1" x14ac:dyDescent="0.35">
      <c r="B20">
        <v>640</v>
      </c>
      <c r="C20" s="1853" t="str">
        <f>VLOOKUP("Soldos e Salarios",tabIdiomas26[],MATCH($G$2,tabIdiomas26[#Headers]),FALSE)</f>
        <v>Wages and Salaries</v>
      </c>
      <c r="D20" s="1854"/>
      <c r="E20" s="1781">
        <v>0</v>
      </c>
    </row>
    <row r="21" spans="2:5" x14ac:dyDescent="0.3">
      <c r="B21">
        <v>642</v>
      </c>
      <c r="C21" s="1838" t="str">
        <f>VLOOKUP("Seguridade Social a cargo da Empresa",tabIdiomas26[],MATCH($G$2,tabIdiomas26[#Headers]),FALSE)</f>
        <v>Social Security Costs to be Assumed by the Entity (% over Gross Wages)</v>
      </c>
      <c r="D21" s="1845"/>
      <c r="E21" s="1734">
        <v>0</v>
      </c>
    </row>
    <row r="22" spans="2:5" x14ac:dyDescent="0.3">
      <c r="B22">
        <v>649</v>
      </c>
      <c r="C22" s="1839" t="str">
        <f>VLOOKUP("Outros gastos sociais",tabIdiomas26[],MATCH($G$2,tabIdiomas26[#Headers]),FALSE)</f>
        <v>Other Social Expenses (Other Personnel Costs)</v>
      </c>
      <c r="D22" s="1846"/>
      <c r="E22" s="1782">
        <v>0</v>
      </c>
    </row>
    <row r="23" spans="2:5" s="13" customFormat="1" hidden="1" x14ac:dyDescent="0.3">
      <c r="B23" s="13">
        <v>64</v>
      </c>
      <c r="C23" s="714" t="s">
        <v>903</v>
      </c>
      <c r="D23" s="174">
        <f t="shared" ref="D23" si="3">SUM(D20:D22)</f>
        <v>0</v>
      </c>
      <c r="E23" s="717">
        <f>SUM(E20:E22)</f>
        <v>0</v>
      </c>
    </row>
    <row r="24" spans="2:5" ht="15" thickBot="1" x14ac:dyDescent="0.35">
      <c r="B24">
        <v>621</v>
      </c>
      <c r="C24" s="1853" t="str">
        <f>VLOOKUP("Arrendamentos e Cánones (Aluguer terreos)",tabIdiomas26[],MATCH($G$2,tabIdiomas26[#Headers]),FALSE)</f>
        <v>Rentals (Land and Others)</v>
      </c>
      <c r="D24" s="1854"/>
      <c r="E24" s="1781">
        <v>480</v>
      </c>
    </row>
    <row r="25" spans="2:5" x14ac:dyDescent="0.3">
      <c r="B25">
        <v>6221</v>
      </c>
      <c r="C25" s="1838" t="str">
        <f>VLOOKUP("Reparacións e Mantemento das Instalacións",tabIdiomas26[],MATCH($G$2,tabIdiomas26[#Headers]),FALSE)</f>
        <v>Facilities Repairing and Maintenance</v>
      </c>
      <c r="D25" s="1845"/>
      <c r="E25" s="1734">
        <v>600</v>
      </c>
    </row>
    <row r="26" spans="2:5" s="10" customFormat="1" ht="29.4" thickBot="1" x14ac:dyDescent="0.35">
      <c r="B26" s="10">
        <v>623</v>
      </c>
      <c r="C26" s="1839" t="str">
        <f>VLOOKUP("Servicios de Profesionais Indep. (Notarios, Avogados, Rexistradores, Economistas, Asesores, etc.)",tabIdiomas26[],MATCH($G$2,tabIdiomas26[#Headers]),FALSE)</f>
        <v>Profesional Services (Notaries, Lawyers, Registry Officers, Economists, Advisors, etc.)</v>
      </c>
      <c r="D26" s="1842"/>
      <c r="E26" s="1734"/>
    </row>
    <row r="27" spans="2:5" x14ac:dyDescent="0.3">
      <c r="B27">
        <v>624</v>
      </c>
      <c r="C27" s="1838" t="str">
        <f>VLOOKUP("Transportes",tabIdiomas26[],MATCH($G$2,tabIdiomas26[#Headers]),FALSE)</f>
        <v>Transportation Expenses</v>
      </c>
      <c r="D27" s="1843"/>
      <c r="E27" s="1734"/>
    </row>
    <row r="28" spans="2:5" ht="15" thickBot="1" x14ac:dyDescent="0.35">
      <c r="B28">
        <v>625</v>
      </c>
      <c r="C28" s="1838" t="str">
        <f>VLOOKUP("Primas de Seguros",tabIdiomas26[],MATCH($G$2,tabIdiomas26[#Headers]),FALSE)</f>
        <v>Insurance Premiums</v>
      </c>
      <c r="D28" s="1842"/>
      <c r="E28" s="1734">
        <v>1400</v>
      </c>
    </row>
    <row r="29" spans="2:5" ht="15" thickBot="1" x14ac:dyDescent="0.35">
      <c r="B29">
        <v>626</v>
      </c>
      <c r="C29" s="1838" t="str">
        <f>VLOOKUP("Servizos Bancarios",tabIdiomas26[],MATCH($G$2,tabIdiomas26[#Headers]),FALSE)</f>
        <v>Banking Services</v>
      </c>
      <c r="D29" s="1844"/>
      <c r="E29" s="1734">
        <v>240</v>
      </c>
    </row>
    <row r="30" spans="2:5" ht="15" thickBot="1" x14ac:dyDescent="0.35">
      <c r="B30">
        <v>627</v>
      </c>
      <c r="C30" s="1838" t="str">
        <f>VLOOKUP("Publicidade, Propaganda e RR.PP.",tabIdiomas26[],MATCH($G$2,tabIdiomas26[#Headers]),FALSE)</f>
        <v>Advertising, Propaganda &amp; Public Relations</v>
      </c>
      <c r="D30" s="1844"/>
      <c r="E30" s="1734"/>
    </row>
    <row r="31" spans="2:5" ht="15" thickBot="1" x14ac:dyDescent="0.35">
      <c r="B31">
        <v>628</v>
      </c>
      <c r="C31" s="1838" t="str">
        <f>VLOOKUP("Subministros",tabIdiomas26[],MATCH($G$2,tabIdiomas26[#Headers]),FALSE)</f>
        <v>Supplies</v>
      </c>
      <c r="D31" s="1844"/>
      <c r="E31" s="1734">
        <v>360</v>
      </c>
    </row>
    <row r="32" spans="2:5" x14ac:dyDescent="0.3">
      <c r="B32">
        <v>629</v>
      </c>
      <c r="C32" s="1855" t="str">
        <f>VLOOKUP("Outros Servizos",tabIdiomas26[],MATCH($G$2,tabIdiomas26[#Headers]),FALSE)</f>
        <v>Other Services</v>
      </c>
      <c r="D32" s="1856"/>
      <c r="E32" s="1782">
        <v>450</v>
      </c>
    </row>
    <row r="33" spans="1:5" s="13" customFormat="1" hidden="1" x14ac:dyDescent="0.3">
      <c r="B33" s="13">
        <v>62</v>
      </c>
      <c r="C33" s="714" t="s">
        <v>898</v>
      </c>
      <c r="D33" s="174">
        <f t="shared" ref="D33" si="4">SUM(D24:D32)</f>
        <v>0</v>
      </c>
      <c r="E33" s="717">
        <f>SUM(E24:E32)</f>
        <v>3530</v>
      </c>
    </row>
    <row r="34" spans="1:5" hidden="1" x14ac:dyDescent="0.3">
      <c r="C34" s="727"/>
      <c r="D34" s="145"/>
      <c r="E34" s="644"/>
    </row>
    <row r="35" spans="1:5" hidden="1" x14ac:dyDescent="0.3">
      <c r="C35" s="714" t="s">
        <v>897</v>
      </c>
      <c r="D35" s="145"/>
      <c r="E35" s="644"/>
    </row>
    <row r="36" spans="1:5" hidden="1" x14ac:dyDescent="0.3">
      <c r="C36" s="166"/>
      <c r="D36" s="145"/>
      <c r="E36" s="644"/>
    </row>
    <row r="37" spans="1:5" s="723" customFormat="1" hidden="1" x14ac:dyDescent="0.3">
      <c r="C37" s="726" t="s">
        <v>896</v>
      </c>
      <c r="D37" s="725">
        <f>SUM(D36)</f>
        <v>0</v>
      </c>
      <c r="E37" s="1783">
        <f>SUM(E36)</f>
        <v>0</v>
      </c>
    </row>
    <row r="38" spans="1:5" ht="15" thickBot="1" x14ac:dyDescent="0.35">
      <c r="B38">
        <v>631</v>
      </c>
      <c r="C38" s="1857" t="str">
        <f>VLOOKUP("Outros Tributos (Distintos do IS ou IVE)",tabIdiomas26[],MATCH($G$2,tabIdiomas26[#Headers]),FALSE)</f>
        <v>Other Taxes (Different from the Corporate Income Tax or the Value Added Tax)</v>
      </c>
      <c r="D38" s="1854"/>
      <c r="E38" s="1781">
        <v>10.47</v>
      </c>
    </row>
    <row r="39" spans="1:5" x14ac:dyDescent="0.3">
      <c r="B39">
        <v>659</v>
      </c>
      <c r="C39" s="1855" t="str">
        <f>VLOOKUP("Outras Perdas en Xestión Corrente",tabIdiomas26[],MATCH($G$2,tabIdiomas26[#Headers]),FALSE)</f>
        <v>Other Losses Arising From Ordinary Corporate Operation Activities</v>
      </c>
      <c r="D39" s="1856"/>
      <c r="E39" s="1782">
        <v>50</v>
      </c>
    </row>
    <row r="40" spans="1:5" s="13" customFormat="1" hidden="1" x14ac:dyDescent="0.3">
      <c r="C40" s="714" t="s">
        <v>894</v>
      </c>
      <c r="D40" s="174">
        <f t="shared" ref="D40" si="5">D19+D23+D33+D38+D39</f>
        <v>0</v>
      </c>
      <c r="E40" s="717">
        <f>E19+E23+E33+E38+E39</f>
        <v>3590.47</v>
      </c>
    </row>
    <row r="41" spans="1:5" x14ac:dyDescent="0.3">
      <c r="C41" s="166"/>
      <c r="E41" s="1784"/>
    </row>
    <row r="42" spans="1:5" s="64" customFormat="1" ht="15.6" hidden="1" thickTop="1" thickBot="1" x14ac:dyDescent="0.35">
      <c r="C42" s="718" t="s">
        <v>893</v>
      </c>
      <c r="D42" s="720">
        <f>D$15-D$40</f>
        <v>0</v>
      </c>
      <c r="E42" s="1868">
        <f>E$15-E$40</f>
        <v>7259</v>
      </c>
    </row>
    <row r="43" spans="1:5" x14ac:dyDescent="0.3">
      <c r="A43">
        <v>0.15</v>
      </c>
      <c r="C43" s="166"/>
      <c r="E43" s="1784"/>
    </row>
    <row r="44" spans="1:5" x14ac:dyDescent="0.3">
      <c r="B44" s="13">
        <v>681</v>
      </c>
      <c r="C44" s="1859" t="str">
        <f>VLOOKUP("Amortización do Investimento",tabIdiomas26[],MATCH('Indiv. Invoices Comparison'!$J$2,tabIdiomas26[#Headers]),FALSE)</f>
        <v>Amortization of the Investment</v>
      </c>
      <c r="D44" s="1860"/>
      <c r="E44" s="1861">
        <v>0</v>
      </c>
    </row>
    <row r="45" spans="1:5" hidden="1" x14ac:dyDescent="0.3">
      <c r="C45" s="1862"/>
      <c r="D45" s="1863"/>
      <c r="E45" s="1864"/>
    </row>
    <row r="46" spans="1:5" s="64" customFormat="1" hidden="1" x14ac:dyDescent="0.3">
      <c r="C46" s="1858" t="s">
        <v>891</v>
      </c>
      <c r="D46" s="1865">
        <f t="shared" ref="D46" si="6">D42-D44</f>
        <v>0</v>
      </c>
      <c r="E46" s="1866">
        <f>E42-E44</f>
        <v>7259</v>
      </c>
    </row>
    <row r="47" spans="1:5" x14ac:dyDescent="0.3">
      <c r="C47" s="166"/>
      <c r="E47" s="1784"/>
    </row>
    <row r="48" spans="1:5" ht="15" thickBot="1" x14ac:dyDescent="0.35">
      <c r="C48" s="1871" t="str">
        <f>VLOOKUP("Ingresos Financeiros",tabIdiomas26[],MATCH('Indiv. Invoices Comparison'!$J$2,tabIdiomas26[#Headers]),FALSE)</f>
        <v>Financial Income</v>
      </c>
      <c r="D48" s="1872"/>
      <c r="E48" s="1873">
        <v>0</v>
      </c>
    </row>
    <row r="49" spans="2:9" x14ac:dyDescent="0.3">
      <c r="C49" s="1874" t="str">
        <f>VLOOKUP("Gastos Financeiros",tabIdiomas26[],MATCH('Indiv. Invoices Comparison'!$J$2,tabIdiomas26[#Headers]),FALSE)</f>
        <v>Financial Expenses</v>
      </c>
      <c r="D49" s="1875"/>
      <c r="E49" s="1876">
        <v>0</v>
      </c>
      <c r="I49">
        <f>H22</f>
        <v>0</v>
      </c>
    </row>
    <row r="50" spans="2:9" x14ac:dyDescent="0.3">
      <c r="C50" s="961"/>
      <c r="D50" s="145"/>
      <c r="E50" s="1869"/>
    </row>
    <row r="51" spans="2:9" ht="15.6" hidden="1" thickTop="1" thickBot="1" x14ac:dyDescent="0.35">
      <c r="C51" s="738" t="s">
        <v>888</v>
      </c>
      <c r="D51" s="708"/>
      <c r="E51" s="1785">
        <f t="shared" ref="E51" si="7">E46+E48-E49</f>
        <v>7259</v>
      </c>
    </row>
    <row r="52" spans="2:9" ht="15" hidden="1" thickTop="1" x14ac:dyDescent="0.3">
      <c r="C52" s="166"/>
      <c r="E52" s="1784"/>
    </row>
    <row r="53" spans="2:9" ht="15" thickBot="1" x14ac:dyDescent="0.35">
      <c r="B53" s="38">
        <v>0.25</v>
      </c>
      <c r="C53" s="1867" t="str">
        <f>VLOOKUP("Imposto sobre Sociedades (IS)",tabIdiomas26[],MATCH('Indiv. Invoices Comparison'!$J$2,tabIdiomas26[#Headers]),FALSE)</f>
        <v>Corporate Income Tax</v>
      </c>
      <c r="D53" s="1870"/>
      <c r="E53" s="1781">
        <v>1814.75</v>
      </c>
    </row>
    <row r="54" spans="2:9" ht="15" thickBot="1" x14ac:dyDescent="0.35">
      <c r="C54" s="1877" t="str">
        <f>VLOOKUP("Crédito Fiscal",tabIdiomas26[],MATCH('Indiv. Invoices Comparison'!$J$2,tabIdiomas26[#Headers]),FALSE)</f>
        <v>Tax Credit</v>
      </c>
      <c r="D54" s="1878"/>
      <c r="E54" s="1879"/>
    </row>
    <row r="55" spans="2:9" x14ac:dyDescent="0.3">
      <c r="C55" s="1880" t="str">
        <f>VLOOKUP("Crédito Fiscal Acumulado",tabIdiomas26[],MATCH('Indiv. Invoices Comparison'!$J$2,tabIdiomas26[#Headers]),FALSE)</f>
        <v>Accumulated Tax Credit</v>
      </c>
      <c r="D55" s="1881"/>
      <c r="E55" s="1882"/>
    </row>
    <row r="56" spans="2:9" ht="15" thickBot="1" x14ac:dyDescent="0.35">
      <c r="C56" s="166"/>
      <c r="E56" s="1784"/>
    </row>
    <row r="57" spans="2:9" ht="15.6" hidden="1" thickTop="1" thickBot="1" x14ac:dyDescent="0.35">
      <c r="C57" s="710" t="s">
        <v>884</v>
      </c>
      <c r="D57" s="709"/>
      <c r="E57" s="1785">
        <f t="shared" ref="E57" si="8">E51-E53</f>
        <v>5444.25</v>
      </c>
    </row>
    <row r="58" spans="2:9" ht="15.6" thickTop="1" thickBot="1" x14ac:dyDescent="0.35">
      <c r="C58" s="1100"/>
      <c r="D58" s="1100"/>
      <c r="E58" s="1786"/>
    </row>
    <row r="59" spans="2:9" ht="15.6" thickTop="1" thickBot="1" x14ac:dyDescent="0.35">
      <c r="C59" s="1850" t="str">
        <f>VLOOKUP("Prazo da Instalación (Anos)",tabIdiomas26[],MATCH('Indiv. Invoices Comparison'!$J$2,tabIdiomas26[#Headers]),FALSE)</f>
        <v>Project Time Horizon (Years)</v>
      </c>
      <c r="D59" s="1851"/>
      <c r="E59" s="1787">
        <v>25</v>
      </c>
    </row>
    <row r="60" spans="2:9" ht="15" hidden="1" thickTop="1" x14ac:dyDescent="0.3">
      <c r="B60" s="145"/>
      <c r="C60" s="705" t="s">
        <v>883</v>
      </c>
      <c r="D60" s="704"/>
      <c r="E60" s="1788">
        <f t="shared" ref="E60:E61" si="9">E4</f>
        <v>1</v>
      </c>
    </row>
    <row r="61" spans="2:9" ht="15" hidden="1" thickBot="1" x14ac:dyDescent="0.35">
      <c r="C61" s="700"/>
      <c r="D61" s="699"/>
      <c r="E61" s="1789">
        <f t="shared" si="9"/>
        <v>2025</v>
      </c>
    </row>
    <row r="62" spans="2:9" ht="14.55" hidden="1" customHeight="1" thickTop="1" x14ac:dyDescent="0.3">
      <c r="C62" s="695" t="s">
        <v>882</v>
      </c>
      <c r="D62" s="694"/>
      <c r="E62" s="1331">
        <f t="shared" ref="E62:E63" si="10">E13</f>
        <v>2470.4699999999998</v>
      </c>
    </row>
    <row r="63" spans="2:9" hidden="1" x14ac:dyDescent="0.3">
      <c r="C63" s="680" t="s">
        <v>881</v>
      </c>
      <c r="D63" s="679"/>
      <c r="E63" s="1790">
        <f t="shared" si="10"/>
        <v>1680</v>
      </c>
    </row>
    <row r="64" spans="2:9" hidden="1" x14ac:dyDescent="0.3">
      <c r="C64" s="693" t="s">
        <v>880</v>
      </c>
      <c r="D64" s="692"/>
      <c r="E64" s="1791">
        <f t="shared" ref="E64" si="11">SUM(E62:E63)</f>
        <v>4150.4699999999993</v>
      </c>
    </row>
    <row r="65" spans="3:5" ht="15" hidden="1" thickBot="1" x14ac:dyDescent="0.35">
      <c r="C65" s="689" t="s">
        <v>879</v>
      </c>
      <c r="D65" s="688"/>
      <c r="E65" s="1792" t="e">
        <f>IF('Hipóteses xerais (2)'!$C$94="Si",(E40+E44+E49+('Hipóteses xerais (2)'!$C$89/'Hipóteses xerais (2)'!$C$11)),(E40+E44+E49))</f>
        <v>#N/A</v>
      </c>
    </row>
    <row r="66" spans="3:5" ht="15" hidden="1" thickBot="1" x14ac:dyDescent="0.35">
      <c r="C66" s="685" t="s">
        <v>878</v>
      </c>
      <c r="D66" s="684"/>
      <c r="E66" s="1793" t="e">
        <f t="shared" ref="E66" si="12">E64-E65</f>
        <v>#N/A</v>
      </c>
    </row>
    <row r="67" spans="3:5" hidden="1" x14ac:dyDescent="0.3"/>
    <row r="68" spans="3:5" hidden="1" x14ac:dyDescent="0.3">
      <c r="D68" s="145"/>
      <c r="E68" s="644"/>
    </row>
    <row r="69" spans="3:5" hidden="1" x14ac:dyDescent="0.3">
      <c r="C69" s="13" t="s">
        <v>877</v>
      </c>
      <c r="D69" s="682"/>
    </row>
    <row r="70" spans="3:5" hidden="1" x14ac:dyDescent="0.3">
      <c r="D70" s="145"/>
    </row>
    <row r="71" spans="3:5" hidden="1" x14ac:dyDescent="0.3">
      <c r="C71" s="667" t="s">
        <v>876</v>
      </c>
      <c r="D71" s="666"/>
      <c r="E71" s="1331" t="e">
        <f t="shared" ref="E71" si="13">E65</f>
        <v>#N/A</v>
      </c>
    </row>
    <row r="72" spans="3:5" hidden="1" x14ac:dyDescent="0.3">
      <c r="C72" s="680" t="s">
        <v>875</v>
      </c>
      <c r="D72" s="679"/>
      <c r="E72" s="1790" t="e">
        <f>IF('Hipóteses xerais (2)'!$E$64="Si",(('Hipóteses xerais (2)'!$C$62-('Hipóteses xerais (2)'!$C$91-'Hipóteses xerais (2)'!$F$35))/'Hipóteses xerais (2)'!$C$11), 0)</f>
        <v>#N/A</v>
      </c>
    </row>
    <row r="73" spans="3:5" hidden="1" x14ac:dyDescent="0.3">
      <c r="C73" s="667" t="s">
        <v>874</v>
      </c>
      <c r="D73" s="666"/>
      <c r="E73" s="1330" t="e">
        <f t="shared" ref="E73" si="14">E71-E72</f>
        <v>#N/A</v>
      </c>
    </row>
    <row r="74" spans="3:5" hidden="1" x14ac:dyDescent="0.3">
      <c r="C74" s="667" t="s">
        <v>873</v>
      </c>
      <c r="D74" s="666"/>
      <c r="E74" s="1794" t="e">
        <f>'Hipóteses xerais (2)'!$F$39</f>
        <v>#N/A</v>
      </c>
    </row>
    <row r="75" spans="3:5" ht="15" hidden="1" thickBot="1" x14ac:dyDescent="0.35">
      <c r="C75" s="672" t="s">
        <v>872</v>
      </c>
      <c r="E75" s="644" t="e">
        <f t="shared" ref="E75" si="15">E73/E74</f>
        <v>#N/A</v>
      </c>
    </row>
    <row r="76" spans="3:5" ht="15" hidden="1" thickBot="1" x14ac:dyDescent="0.35">
      <c r="C76" s="663" t="s">
        <v>871</v>
      </c>
      <c r="D76" s="662"/>
      <c r="E76" s="1795" t="e">
        <f t="shared" ref="E76" si="16">E75/12</f>
        <v>#N/A</v>
      </c>
    </row>
    <row r="77" spans="3:5" hidden="1" x14ac:dyDescent="0.3"/>
    <row r="78" spans="3:5" hidden="1" x14ac:dyDescent="0.3"/>
    <row r="79" spans="3:5" hidden="1" x14ac:dyDescent="0.3">
      <c r="C79" s="667" t="s">
        <v>870</v>
      </c>
      <c r="D79" s="666"/>
      <c r="E79" s="1796" t="e">
        <f>MIN('Hipóteses xerais (2)'!$C$35*1000,'Hipóteses xerais (2)'!$C$70*'Hipóteses xerais (2)'!$I$52*'Hipóteses xerais (2)'!$I$53)</f>
        <v>#N/A</v>
      </c>
    </row>
    <row r="80" spans="3:5" ht="15" hidden="1" thickBot="1" x14ac:dyDescent="0.35">
      <c r="C80" s="663" t="s">
        <v>869</v>
      </c>
      <c r="D80" s="662"/>
      <c r="E80" s="1797" t="e">
        <f t="shared" ref="E80" si="17">E73/E79</f>
        <v>#N/A</v>
      </c>
    </row>
    <row r="81" spans="3:6" ht="15" hidden="1" thickBot="1" x14ac:dyDescent="0.35"/>
    <row r="82" spans="3:6" ht="15" hidden="1" thickBot="1" x14ac:dyDescent="0.35">
      <c r="C82" s="624" t="s">
        <v>868</v>
      </c>
      <c r="D82" s="623" t="s">
        <v>851</v>
      </c>
      <c r="E82" s="1798" t="s">
        <v>850</v>
      </c>
    </row>
    <row r="83" spans="3:6" ht="15" hidden="1" thickBot="1" x14ac:dyDescent="0.35">
      <c r="C83" s="621" t="s">
        <v>867</v>
      </c>
      <c r="D83" s="620" t="e">
        <f>($E$80*'Hipóteses xerais (2)'!$I$52*'Hipóteses xerais (2)'!$C$70)/12</f>
        <v>#N/A</v>
      </c>
      <c r="E83" s="619" t="e">
        <f>($E$80*'Hipóteses xerais (2)'!$I$52*'Hipóteses xerais (2)'!$C$70)</f>
        <v>#N/A</v>
      </c>
      <c r="F83" s="6"/>
    </row>
    <row r="84" spans="3:6" ht="15" hidden="1" thickBot="1" x14ac:dyDescent="0.35"/>
    <row r="85" spans="3:6" ht="15" hidden="1" thickBot="1" x14ac:dyDescent="0.35">
      <c r="D85" s="658" t="s">
        <v>866</v>
      </c>
      <c r="E85" s="1799"/>
      <c r="F85" s="656" t="e">
        <f>E9+(IF('Hipóteses xerais (2)'!$C$94="Si",('Hipóteses xerais (2)'!$C$89/'Hipóteses xerais (2)'!$C$11),0))</f>
        <v>#N/A</v>
      </c>
    </row>
    <row r="86" spans="3:6" ht="15" hidden="1" thickBot="1" x14ac:dyDescent="0.35">
      <c r="C86" s="653" t="s">
        <v>865</v>
      </c>
      <c r="D86" s="652" t="s">
        <v>864</v>
      </c>
      <c r="E86" s="1800"/>
      <c r="F86" s="650" t="e">
        <f>'Hipóteses xerais (2)'!$C$16*'General Real Data (Obs.)'!F85</f>
        <v>#N/A</v>
      </c>
    </row>
    <row r="87" spans="3:6" ht="62.55" hidden="1" customHeight="1" x14ac:dyDescent="0.3">
      <c r="C87" s="647" t="s">
        <v>863</v>
      </c>
      <c r="D87" s="641" t="s">
        <v>862</v>
      </c>
      <c r="F87" s="644" t="e">
        <f>F86/'Hipóteses xerais (2)'!$F$39</f>
        <v>#N/A</v>
      </c>
    </row>
    <row r="88" spans="3:6" ht="58.2" hidden="1" thickBot="1" x14ac:dyDescent="0.35">
      <c r="C88" s="645" t="s">
        <v>861</v>
      </c>
      <c r="D88" s="32" t="s">
        <v>860</v>
      </c>
      <c r="F88" s="644" t="e">
        <f t="shared" ref="F88" si="18">F87/12</f>
        <v>#N/A</v>
      </c>
    </row>
    <row r="89" spans="3:6" ht="55.05" hidden="1" customHeight="1" x14ac:dyDescent="0.3">
      <c r="C89" s="642" t="s">
        <v>859</v>
      </c>
      <c r="D89" s="641" t="s">
        <v>858</v>
      </c>
      <c r="F89" s="145" t="e">
        <f>F86/(E79*1000)</f>
        <v>#N/A</v>
      </c>
    </row>
    <row r="90" spans="3:6" ht="15" hidden="1" thickBot="1" x14ac:dyDescent="0.35">
      <c r="C90" s="640"/>
    </row>
    <row r="91" spans="3:6" ht="15" hidden="1" thickBot="1" x14ac:dyDescent="0.35">
      <c r="C91" s="639" t="s">
        <v>857</v>
      </c>
      <c r="D91" s="638" t="s">
        <v>856</v>
      </c>
      <c r="E91" s="1406"/>
      <c r="F91" s="637"/>
    </row>
    <row r="92" spans="3:6" ht="43.8" hidden="1" thickBot="1" x14ac:dyDescent="0.35">
      <c r="C92" s="635" t="s">
        <v>855</v>
      </c>
      <c r="D92" s="634" t="s">
        <v>854</v>
      </c>
      <c r="E92" s="1405"/>
      <c r="F92" s="632" t="e">
        <f>E75+(F87*(1+'Hipóteses xerais (2)'!$C$16))</f>
        <v>#N/A</v>
      </c>
    </row>
    <row r="93" spans="3:6" ht="15" hidden="1" thickBot="1" x14ac:dyDescent="0.35">
      <c r="D93" s="629" t="s">
        <v>853</v>
      </c>
      <c r="E93" s="1403"/>
      <c r="F93" s="627" t="e">
        <f>E76+(F88*(1+'Hipóteses xerais (2)'!$C$16))</f>
        <v>#N/A</v>
      </c>
    </row>
    <row r="94" spans="3:6" hidden="1" x14ac:dyDescent="0.3"/>
    <row r="95" spans="3:6" ht="15" hidden="1" thickBot="1" x14ac:dyDescent="0.35">
      <c r="F95" s="145"/>
    </row>
    <row r="96" spans="3:6" ht="15" hidden="1" thickBot="1" x14ac:dyDescent="0.35">
      <c r="C96" s="624" t="s">
        <v>852</v>
      </c>
      <c r="D96" s="623" t="s">
        <v>851</v>
      </c>
      <c r="E96" s="1798" t="s">
        <v>850</v>
      </c>
    </row>
    <row r="97" spans="3:5" ht="29.4" hidden="1" thickBot="1" x14ac:dyDescent="0.35">
      <c r="C97" s="621" t="s">
        <v>849</v>
      </c>
      <c r="D97" s="620" t="e">
        <f>$F$93</f>
        <v>#N/A</v>
      </c>
      <c r="E97" s="619" t="e">
        <f>$F$92</f>
        <v>#N/A</v>
      </c>
    </row>
    <row r="98" spans="3:5" hidden="1" x14ac:dyDescent="0.3"/>
    <row r="99" spans="3:5" hidden="1" x14ac:dyDescent="0.3"/>
    <row r="100" spans="3:5" hidden="1" x14ac:dyDescent="0.3"/>
    <row r="101" spans="3:5" hidden="1" x14ac:dyDescent="0.3"/>
    <row r="102" spans="3:5" hidden="1" x14ac:dyDescent="0.3"/>
    <row r="103" spans="3:5" hidden="1" x14ac:dyDescent="0.3"/>
    <row r="104" spans="3:5" hidden="1" x14ac:dyDescent="0.3"/>
    <row r="105" spans="3:5" hidden="1" x14ac:dyDescent="0.3"/>
    <row r="106" spans="3:5" hidden="1" x14ac:dyDescent="0.3"/>
    <row r="107" spans="3:5" hidden="1" x14ac:dyDescent="0.3"/>
    <row r="108" spans="3:5" hidden="1" x14ac:dyDescent="0.3"/>
    <row r="109" spans="3:5" hidden="1" x14ac:dyDescent="0.3"/>
    <row r="110" spans="3:5" hidden="1" x14ac:dyDescent="0.3"/>
    <row r="111" spans="3:5" hidden="1" x14ac:dyDescent="0.3"/>
    <row r="112" spans="3:5"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spans="3:5" hidden="1" x14ac:dyDescent="0.3"/>
    <row r="194" spans="3:5" hidden="1" x14ac:dyDescent="0.3"/>
    <row r="195" spans="3:5" hidden="1" x14ac:dyDescent="0.3"/>
    <row r="196" spans="3:5" hidden="1" x14ac:dyDescent="0.3"/>
    <row r="197" spans="3:5" hidden="1" x14ac:dyDescent="0.3"/>
    <row r="198" spans="3:5" hidden="1" x14ac:dyDescent="0.3"/>
    <row r="199" spans="3:5" hidden="1" x14ac:dyDescent="0.3"/>
    <row r="200" spans="3:5" hidden="1" x14ac:dyDescent="0.3"/>
    <row r="201" spans="3:5" hidden="1" x14ac:dyDescent="0.3"/>
    <row r="202" spans="3:5" hidden="1" x14ac:dyDescent="0.3"/>
    <row r="203" spans="3:5" hidden="1" x14ac:dyDescent="0.3"/>
    <row r="204" spans="3:5" hidden="1" x14ac:dyDescent="0.3"/>
    <row r="205" spans="3:5" hidden="1" x14ac:dyDescent="0.3"/>
    <row r="206" spans="3:5" hidden="1" x14ac:dyDescent="0.3"/>
    <row r="207" spans="3:5" ht="15.6" thickTop="1" thickBot="1" x14ac:dyDescent="0.35"/>
    <row r="208" spans="3:5" ht="15.6" thickTop="1" thickBot="1" x14ac:dyDescent="0.35">
      <c r="C208" s="1883" t="str">
        <f>VLOOKUP("Financiamento do Proxecto",tabIdiomas26[],MATCH('Indiv. Invoices Comparison'!$J$2,tabIdiomas26[#Headers]),FALSE)</f>
        <v>Project Financing</v>
      </c>
      <c r="D208" s="1884" t="str">
        <f>VLOOKUP("Ano Inicial",tabIdiomas26[],MATCH('Indiv. Invoices Comparison'!$J$2,tabIdiomas26[#Headers]),FALSE)</f>
        <v>Intitial Year</v>
      </c>
      <c r="E208" s="1885" t="str">
        <f>VLOOKUP("Variación no Ano (€)",tabIdiomas26[],MATCH('Indiv. Invoices Comparison'!$J$2,tabIdiomas26[#Headers]),FALSE)</f>
        <v>Change in the Year (€)</v>
      </c>
    </row>
    <row r="209" spans="3:9" ht="15.6" thickTop="1" thickBot="1" x14ac:dyDescent="0.35">
      <c r="C209" s="1886" t="str">
        <f>VLOOKUP("Fondos Propios",tabIdiomas26[],MATCH('Indiv. Invoices Comparison'!$J$2,tabIdiomas26[#Headers]),FALSE)</f>
        <v>Equity (Partners' Own Capital)</v>
      </c>
      <c r="D209" s="1887">
        <v>70150</v>
      </c>
      <c r="E209" s="1888">
        <v>70150</v>
      </c>
    </row>
    <row r="210" spans="3:9" ht="15" thickBot="1" x14ac:dyDescent="0.35">
      <c r="C210" s="1889" t="str">
        <f>VLOOKUP("Débeda",tabIdiomas26[],MATCH('Indiv. Invoices Comparison'!$J$2,tabIdiomas26[#Headers]),FALSE)</f>
        <v>Debt</v>
      </c>
      <c r="D210" s="1890">
        <v>0</v>
      </c>
      <c r="E210" s="1891">
        <v>0</v>
      </c>
    </row>
    <row r="211" spans="3:9" ht="15" thickBot="1" x14ac:dyDescent="0.35">
      <c r="C211" s="1892" t="str">
        <f>VLOOKUP("Subvención",tabIdiomas26[],MATCH('Indiv. Invoices Comparison'!$J$2,tabIdiomas26[#Headers]),FALSE)</f>
        <v>Grant</v>
      </c>
      <c r="D211" s="1893">
        <v>42000</v>
      </c>
      <c r="E211" s="1894">
        <v>42000</v>
      </c>
    </row>
    <row r="212" spans="3:9" ht="15" thickTop="1" x14ac:dyDescent="0.3"/>
    <row r="213" spans="3:9" ht="15" thickBot="1" x14ac:dyDescent="0.35"/>
    <row r="214" spans="3:9" ht="28.8" thickTop="1" thickBot="1" x14ac:dyDescent="0.35">
      <c r="C214" s="1883" t="str">
        <f>VLOOKUP("Investimento",tabIdiomas26[],MATCH('Indiv. Invoices Comparison'!$J$2,tabIdiomas26[#Headers]),FALSE)</f>
        <v>Investment</v>
      </c>
      <c r="D214" s="1884" t="str">
        <f>VLOOKUP("Vida Completa do Proxecto",tabIdiomas26[],MATCH('Indiv. Invoices Comparison'!$J$2,tabIdiomas26[#Headers]),FALSE)</f>
        <v>Complete Project Lifetime</v>
      </c>
      <c r="E214" s="1885" t="str">
        <f>VLOOKUP("Variación no Ano (€)",tabIdiomas26[],MATCH('Indiv. Invoices Comparison'!$J$2,tabIdiomas26[#Headers]),FALSE)</f>
        <v>Change in the Year (€)</v>
      </c>
    </row>
    <row r="215" spans="3:9" ht="15.6" thickTop="1" thickBot="1" x14ac:dyDescent="0.35">
      <c r="C215" s="1886" t="str">
        <f>VLOOKUP("Gastos de Constitución",tabIdiomas26[],MATCH('Indiv. Invoices Comparison'!$J$2,tabIdiomas26[#Headers]),FALSE)</f>
        <v>Establishment Costs</v>
      </c>
      <c r="D215" s="1887">
        <v>150</v>
      </c>
      <c r="E215" s="1888">
        <v>150</v>
      </c>
    </row>
    <row r="216" spans="3:9" ht="15" thickBot="1" x14ac:dyDescent="0.35">
      <c r="C216" s="1889" t="str">
        <f>VLOOKUP("Instalacións (Excluído o Inversor)",tabIdiomas26[],MATCH('Indiv. Invoices Comparison'!$J$2,tabIdiomas26[#Headers]),FALSE)</f>
        <v>Facilities (Excluding the Energy Inverter)</v>
      </c>
      <c r="D216" s="1890">
        <v>56000</v>
      </c>
      <c r="E216" s="1891">
        <v>56000</v>
      </c>
    </row>
    <row r="217" spans="3:9" ht="15" thickBot="1" x14ac:dyDescent="0.35">
      <c r="C217" s="1895" t="str">
        <f>VLOOKUP("Inversor (Investimento Inicial)",tabIdiomas26[],MATCH('Indiv. Invoices Comparison'!$J$2,tabIdiomas26[#Headers]),FALSE)</f>
        <v>Energy Inverter (Initial Investment)</v>
      </c>
      <c r="D217" s="1896">
        <v>14000</v>
      </c>
      <c r="E217" s="1897">
        <v>14000</v>
      </c>
    </row>
    <row r="218" spans="3:9" ht="15" thickBot="1" x14ac:dyDescent="0.35">
      <c r="C218" s="1892" t="str">
        <f>VLOOKUP("Inversor (Renovacións)",tabIdiomas26[],MATCH('Indiv. Invoices Comparison'!$J$2,tabIdiomas26[#Headers]),FALSE)</f>
        <v>Energy Inverter (Renewal Investments)</v>
      </c>
      <c r="D218" s="1893">
        <v>14000</v>
      </c>
      <c r="E218" s="1894">
        <v>0</v>
      </c>
    </row>
    <row r="219" spans="3:9" ht="15" thickTop="1" x14ac:dyDescent="0.3"/>
    <row r="220" spans="3:9" ht="15" thickBot="1" x14ac:dyDescent="0.35"/>
    <row r="221" spans="3:9" ht="15.6" thickTop="1" thickBot="1" x14ac:dyDescent="0.35">
      <c r="C221" s="1850" t="str">
        <f>VLOOKUP("Composición da Base de Socios",tabIdiomas26[],MATCH('Indiv. Invoices Comparison'!$J$2,tabIdiomas26[#Headers]),FALSE)</f>
        <v>Partnership Composition</v>
      </c>
      <c r="D221" s="1851"/>
      <c r="E221" s="1852">
        <f>E5</f>
        <v>2025</v>
      </c>
    </row>
    <row r="222" spans="3:9" ht="15.6" thickTop="1" thickBot="1" x14ac:dyDescent="0.35">
      <c r="C222" s="1889" t="str">
        <f>VLOOKUP("Número de Socios",tabIdiomas26[],MATCH('Indiv. Invoices Comparison'!$J$2,tabIdiomas26[#Headers]),FALSE)</f>
        <v>Number of Partners</v>
      </c>
      <c r="D222" s="1912"/>
      <c r="E222" s="1910">
        <v>25</v>
      </c>
    </row>
    <row r="223" spans="3:9" ht="15" thickBot="1" x14ac:dyDescent="0.35">
      <c r="C223" s="1892" t="str">
        <f>VLOOKUP("Consumo Eléctrico Anual Medio de Cada Socio (KWh)",tabIdiomas26[],MATCH('Indiv. Invoices Comparison'!$J$2,tabIdiomas26[#Headers]),FALSE)</f>
        <v>Average Annual Electricity Consumption of Each Partner (KWh)</v>
      </c>
      <c r="D223" s="1913"/>
      <c r="E223" s="1911">
        <v>3532.92</v>
      </c>
      <c r="H223" s="6"/>
      <c r="I223" s="6"/>
    </row>
    <row r="224" spans="3:9" ht="15.6" thickTop="1" thickBot="1" x14ac:dyDescent="0.35">
      <c r="C224" s="1903" t="str">
        <f>VLOOKUP("Porcentaxe Esóxena de Aforro sobre Consumo Total (%)",tabIdiomas26[],MATCH($G$2,tabIdiomas26[#Headers]),FALSE)</f>
        <v>Exogenous Percentage of Savings over Total Electricity Consumption (%)</v>
      </c>
      <c r="D224" s="1904"/>
      <c r="E224" s="1831">
        <v>1</v>
      </c>
      <c r="H224" s="6"/>
      <c r="I224" s="6"/>
    </row>
    <row r="225" spans="3:9" ht="15" thickTop="1" x14ac:dyDescent="0.3">
      <c r="I225" s="6"/>
    </row>
    <row r="226" spans="3:9" ht="15" thickBot="1" x14ac:dyDescent="0.35"/>
    <row r="227" spans="3:9" ht="15.6" thickTop="1" thickBot="1" x14ac:dyDescent="0.35">
      <c r="C227" s="1850" t="str">
        <f>VLOOKUP("Produción Enerxética",tabIdiomas26[],MATCH($G$2,tabIdiomas26[#Headers]),FALSE)</f>
        <v>Energy Production</v>
      </c>
      <c r="D227" s="1851"/>
      <c r="E227" s="1852">
        <f>E5</f>
        <v>2025</v>
      </c>
    </row>
    <row r="228" spans="3:9" ht="15.6" thickTop="1" thickBot="1" x14ac:dyDescent="0.35">
      <c r="C228" s="1903" t="str">
        <f>VLOOKUP("Enerxía Producida (KWh)",tabIdiomas26[],MATCH($G$2,tabIdiomas26[#Headers]),FALSE)</f>
        <v>Produced Energy (KWh)</v>
      </c>
      <c r="D228" s="1904"/>
      <c r="E228" s="1832">
        <v>89320</v>
      </c>
      <c r="G228" s="6"/>
    </row>
    <row r="229" spans="3:9" ht="15.6" thickTop="1" thickBot="1" x14ac:dyDescent="0.35">
      <c r="C229" s="1914" t="str">
        <f>VLOOKUP("Enerxía Autoconsumida (KWh)",tabIdiomas26[],MATCH($G$2,tabIdiomas26[#Headers]),FALSE)</f>
        <v>Self-Consumed Energy (KWh)</v>
      </c>
      <c r="D229" s="1905"/>
      <c r="E229" s="1906">
        <v>44161.5</v>
      </c>
    </row>
    <row r="230" spans="3:9" ht="15" thickBot="1" x14ac:dyDescent="0.35">
      <c r="C230" s="1877" t="str">
        <f>VLOOKUP("Enerxía Compensada (KWh)",tabIdiomas26[],MATCH($G$2,tabIdiomas26[#Headers]),FALSE)</f>
        <v>Compensated Energy (KWh)</v>
      </c>
      <c r="D230" s="1878"/>
      <c r="E230" s="1907">
        <v>44161.5</v>
      </c>
    </row>
    <row r="231" spans="3:9" ht="15" thickBot="1" x14ac:dyDescent="0.35">
      <c r="C231" s="1877" t="str">
        <f>VLOOKUP("Enerxía Vendida (KWh)",tabIdiomas26[],MATCH($G$2,tabIdiomas26[#Headers]),FALSE)</f>
        <v>Sold Energy (KWh)</v>
      </c>
      <c r="D231" s="1878"/>
      <c r="E231" s="1907">
        <v>0</v>
      </c>
    </row>
    <row r="232" spans="3:9" ht="15" thickBot="1" x14ac:dyDescent="0.35">
      <c r="C232" s="1915" t="str">
        <f>VLOOKUP("Enerxía Vertida á Rede sen Contraprestación Económica (KWh)",tabIdiomas26[],MATCH($G$2,tabIdiomas26[#Headers]),FALSE)</f>
        <v>Energy Incorporated to the Grid Without Economic Remuneration (KWh)</v>
      </c>
      <c r="D232" s="1908"/>
      <c r="E232" s="1909">
        <v>997</v>
      </c>
    </row>
    <row r="233" spans="3:9" ht="15" thickTop="1" x14ac:dyDescent="0.3"/>
    <row r="234" spans="3:9" ht="15" thickBot="1" x14ac:dyDescent="0.35"/>
    <row r="235" spans="3:9" ht="15.6" thickTop="1" thickBot="1" x14ac:dyDescent="0.35">
      <c r="C235" s="1850" t="str">
        <f>VLOOKUP("Prezos da Enerxía",tabIdiomas26[],MATCH($G$2,tabIdiomas26[#Headers]),FALSE)</f>
        <v>Energy Prices</v>
      </c>
      <c r="D235" s="1851"/>
      <c r="E235" s="1852">
        <f>$E$5</f>
        <v>2025</v>
      </c>
    </row>
    <row r="236" spans="3:9" ht="15.6" thickTop="1" thickBot="1" x14ac:dyDescent="0.35">
      <c r="C236" s="1914" t="str">
        <f>VLOOKUP("Prezo de Mercado da Electricidade (€/KWh)",tabIdiomas26[],MATCH($G$2,tabIdiomas26[#Headers]),FALSE)</f>
        <v>Electricity Market Price (€/KWh)</v>
      </c>
      <c r="D236" s="1918"/>
      <c r="E236" s="1921">
        <v>0.1</v>
      </c>
    </row>
    <row r="237" spans="3:9" ht="15" thickBot="1" x14ac:dyDescent="0.35">
      <c r="C237" s="1877" t="str">
        <f>VLOOKUP("Prezo Aplicado na Compensación da Electricidade (€/KWh)",tabIdiomas26[],MATCH($G$2,tabIdiomas26[#Headers]),FALSE)</f>
        <v>Price Applied to Compensated Electricity (€/KWh)</v>
      </c>
      <c r="D237" s="1919"/>
      <c r="E237" s="1922">
        <v>0.05</v>
      </c>
    </row>
    <row r="238" spans="3:9" ht="15" thickBot="1" x14ac:dyDescent="0.35">
      <c r="C238" s="1915" t="str">
        <f>VLOOKUP("Prezo Aplicado á Venda da Electricidade (€/KWh)",tabIdiomas26[],MATCH($G$2,tabIdiomas26[#Headers]),FALSE)</f>
        <v>Price Applied to Sold Electricity (€/KWh)</v>
      </c>
      <c r="D238" s="1920"/>
      <c r="E238" s="1923">
        <v>7.4999999999999997E-2</v>
      </c>
    </row>
    <row r="239" spans="3:9" ht="15.6" thickTop="1" thickBot="1" x14ac:dyDescent="0.35"/>
    <row r="240" spans="3:9" ht="15.6" thickTop="1" thickBot="1" x14ac:dyDescent="0.35">
      <c r="C240" s="1850" t="str">
        <f>VLOOKUP("Outros Ingresos dos Socios",tabIdiomas26[],MATCH($G$2,tabIdiomas26[#Headers]),FALSE)</f>
        <v>Other Income perceived by the Partners</v>
      </c>
      <c r="D240" s="1851"/>
      <c r="E240" s="1852">
        <f>$E$5</f>
        <v>2025</v>
      </c>
    </row>
    <row r="241" spans="3:5" ht="30" thickTop="1" thickBot="1" x14ac:dyDescent="0.35">
      <c r="C241" s="1924" t="str">
        <f>VLOOKUP("Ingresos por Prestación Gratuíta de Outros Servizos pola Entidade Xestora da Iniciativa Comunitaria",tabIdiomas26[],MATCH('Indiv. Invoices Comparison'!$J$2,tabIdiomas26[#Headers]),FALSE)</f>
        <v>Income Deriving from Free-of-Charge Services provided to the Partners by the Energy Initiative Manager-Entity</v>
      </c>
      <c r="D241" s="1925"/>
      <c r="E241" s="1916">
        <v>0</v>
      </c>
    </row>
    <row r="242" spans="3:5" ht="15" thickBot="1" x14ac:dyDescent="0.35">
      <c r="C242" s="1926" t="str">
        <f>VLOOKUP("Outros Ingresos Percibidos da Entidade Xestora da Iniciativa Comunitaria",tabIdiomas26[],MATCH('Indiv. Invoices Comparison'!$J$2,tabIdiomas26[#Headers]),FALSE)</f>
        <v>Other Incomes perceived by the Partners from the Energy Initiative Manager-Entity</v>
      </c>
      <c r="D242" s="1927"/>
      <c r="E242" s="1917">
        <v>0</v>
      </c>
    </row>
    <row r="243" spans="3:5" ht="15" thickTop="1" x14ac:dyDescent="0.3"/>
    <row r="244" spans="3:5" ht="15" thickBot="1" x14ac:dyDescent="0.35"/>
    <row r="245" spans="3:5" x14ac:dyDescent="0.3">
      <c r="C245" s="1928" t="str">
        <f>VLOOKUP("Taxa de Desconto a Aplicar para a Actualización dos Fluxos de Efectivo (%)",tabIdiomas26[],MATCH('Operating Account'!$G$2,tabIdiomas26[#Headers]),FALSE)</f>
        <v>Discount Rate Applicable to the Cash Flows (%)</v>
      </c>
    </row>
    <row r="246" spans="3:5" ht="15" thickBot="1" x14ac:dyDescent="0.35">
      <c r="C246" s="1801">
        <v>3.2550000000000003E-2</v>
      </c>
    </row>
  </sheetData>
  <sheetProtection algorithmName="SHA-512" hashValue="qtR+wrSK19jFQbrH/T+O/kdvV/RvbBhCZ99VGz7e0PgVCzmLqaRoxOkkyl47BuM9s1vfr+2I/90DWIkVIYO5sg==" saltValue="ncGIqdhLwRmohM/Iqp7Xug==" spinCount="100000" sheet="1" objects="1" scenarios="1"/>
  <protectedRanges>
    <protectedRange sqref="E4 E5 E6 E7 E8 E10 E11 E12 E14 E17:E18 E20:E22 E24:E32 E38 E39 E44 E48:E49 E53:E55 E59 E209:E211 D209:D211 D215:E218 E222:E223 E224 E228 E229:E232 E236:E238 E241 E242 C246" name="General Real Data"/>
  </protectedRanges>
  <pageMargins left="0.70866141732283472" right="0.70866141732283472" top="0.39370078740157483"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71308320-29A5-40EA-9626-4DF1961F2486}">
          <x14:formula1>
            <xm:f>'Idiomas (2)'!$A$1:$E$1</xm:f>
          </x14:formula1>
          <xm:sqref>G2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BC34-5D13-4085-B72A-4F4E9425BA35}">
  <sheetPr>
    <tabColor theme="5" tint="0.39997558519241921"/>
  </sheetPr>
  <dimension ref="A1:Q31"/>
  <sheetViews>
    <sheetView workbookViewId="0">
      <selection sqref="A1:C11"/>
    </sheetView>
  </sheetViews>
  <sheetFormatPr baseColWidth="10" defaultColWidth="8.6640625" defaultRowHeight="14.4" x14ac:dyDescent="0.3"/>
  <cols>
    <col min="1" max="1" width="11.77734375" customWidth="1"/>
    <col min="2" max="2" width="21.33203125" customWidth="1"/>
    <col min="3" max="3" width="12.6640625" customWidth="1"/>
    <col min="5" max="5" width="8.6640625" hidden="1" customWidth="1"/>
    <col min="6" max="6" width="11.6640625" hidden="1" customWidth="1"/>
    <col min="7" max="16" width="8.6640625" hidden="1" customWidth="1"/>
    <col min="17" max="17" width="0.6640625" hidden="1" customWidth="1"/>
    <col min="18" max="18" width="0" hidden="1" customWidth="1"/>
  </cols>
  <sheetData>
    <row r="1" spans="1:9" ht="42.6" thickTop="1" thickBot="1" x14ac:dyDescent="0.35">
      <c r="A1" s="1824" t="str">
        <f>VLOOKUP("ID. de Socio",tabIdiomas26[],MATCH('General Real Data (Obs.)'!$G$2,tabIdiomas26[#Headers]),FALSE)</f>
        <v>Partner ID Number</v>
      </c>
      <c r="B1" s="1825" t="str">
        <f>VLOOKUP("Consumo Eléctrico Mensual  Medio de Cada Socio (KWh)",tabIdiomas26[],MATCH('General Real Data (Obs.)'!$G$2,tabIdiomas26[#Headers]),FALSE)</f>
        <v>Average Monthly Electricity Consumption of Each Partner (KWh)</v>
      </c>
      <c r="C1" s="1826" t="str">
        <f>VLOOKUP("Coeficiente de Participación (%)",tabIdiomas26[],MATCH('General Real Data (Obs.)'!$G$2,tabIdiomas26[#Headers]),FALSE)</f>
        <v>Participation Rate (%)</v>
      </c>
    </row>
    <row r="2" spans="1:9" ht="15.6" thickTop="1" thickBot="1" x14ac:dyDescent="0.35">
      <c r="A2" s="1823">
        <v>1</v>
      </c>
      <c r="B2" s="1827">
        <v>501</v>
      </c>
      <c r="C2" s="1829">
        <f t="shared" ref="C2:C26" si="0">B2/$F$9</f>
        <v>7.4531389467420411E-2</v>
      </c>
      <c r="F2" s="1203" t="s">
        <v>1133</v>
      </c>
      <c r="G2" s="637"/>
      <c r="H2" s="637"/>
      <c r="I2" s="636"/>
    </row>
    <row r="3" spans="1:9" ht="15" thickBot="1" x14ac:dyDescent="0.35">
      <c r="A3" s="1822">
        <v>2</v>
      </c>
      <c r="B3" s="1828">
        <v>294</v>
      </c>
      <c r="C3" s="1830">
        <f t="shared" si="0"/>
        <v>4.3736983040761679E-2</v>
      </c>
      <c r="F3" s="1363">
        <f>'Hip. Custos Factura Eléctrica'!$B$21</f>
        <v>525</v>
      </c>
      <c r="G3" s="1247" t="s">
        <v>1095</v>
      </c>
      <c r="H3" s="633"/>
      <c r="I3" s="956"/>
    </row>
    <row r="4" spans="1:9" ht="15" thickBot="1" x14ac:dyDescent="0.35">
      <c r="A4" s="1822">
        <v>3</v>
      </c>
      <c r="B4" s="1828">
        <v>126</v>
      </c>
      <c r="C4" s="1830">
        <f t="shared" si="0"/>
        <v>1.8744421303183576E-2</v>
      </c>
    </row>
    <row r="5" spans="1:9" ht="15" thickBot="1" x14ac:dyDescent="0.35">
      <c r="A5" s="1822">
        <v>4</v>
      </c>
      <c r="B5" s="1828">
        <v>522</v>
      </c>
      <c r="C5" s="1830">
        <f t="shared" si="0"/>
        <v>7.7655459684617678E-2</v>
      </c>
      <c r="F5" s="1203" t="s">
        <v>1132</v>
      </c>
      <c r="G5" s="637"/>
      <c r="H5" s="637"/>
      <c r="I5" s="636"/>
    </row>
    <row r="6" spans="1:9" ht="15" thickBot="1" x14ac:dyDescent="0.35">
      <c r="A6" s="1822">
        <v>5</v>
      </c>
      <c r="B6" s="1828">
        <v>109</v>
      </c>
      <c r="C6" s="1830">
        <f t="shared" si="0"/>
        <v>1.6215412079738173E-2</v>
      </c>
      <c r="F6" s="1363">
        <f>'Hip. Custos Factura Eléctrica'!$B$22</f>
        <v>75</v>
      </c>
      <c r="G6" s="1247" t="s">
        <v>1095</v>
      </c>
      <c r="H6" s="633"/>
      <c r="I6" s="956"/>
    </row>
    <row r="7" spans="1:9" ht="15" thickBot="1" x14ac:dyDescent="0.35">
      <c r="A7" s="1822">
        <v>6</v>
      </c>
      <c r="B7" s="1828">
        <v>266</v>
      </c>
      <c r="C7" s="1830">
        <f t="shared" si="0"/>
        <v>3.9571556084498659E-2</v>
      </c>
    </row>
    <row r="8" spans="1:9" ht="15" thickBot="1" x14ac:dyDescent="0.35">
      <c r="A8" s="1822">
        <v>7</v>
      </c>
      <c r="B8" s="1828">
        <v>461</v>
      </c>
      <c r="C8" s="1830">
        <f t="shared" si="0"/>
        <v>6.8580779529901811E-2</v>
      </c>
      <c r="F8" s="663" t="s">
        <v>1131</v>
      </c>
      <c r="G8" s="633"/>
      <c r="H8" s="633"/>
      <c r="I8" s="956"/>
    </row>
    <row r="9" spans="1:9" x14ac:dyDescent="0.3">
      <c r="A9" s="1822">
        <v>8</v>
      </c>
      <c r="B9" s="1828">
        <v>195</v>
      </c>
      <c r="C9" s="1830">
        <f t="shared" si="0"/>
        <v>2.9009223445403153E-2</v>
      </c>
      <c r="F9" s="1246">
        <f>SUM(B2:B26)</f>
        <v>6722</v>
      </c>
      <c r="G9" s="637" t="s">
        <v>1095</v>
      </c>
      <c r="H9" s="637"/>
      <c r="I9" s="636"/>
    </row>
    <row r="10" spans="1:9" ht="15" thickBot="1" x14ac:dyDescent="0.35">
      <c r="A10" s="1822">
        <v>9</v>
      </c>
      <c r="B10" s="1828">
        <v>142</v>
      </c>
      <c r="C10" s="1830">
        <f t="shared" si="0"/>
        <v>2.1124665278191016E-2</v>
      </c>
      <c r="F10" s="1245">
        <f>F9/1000</f>
        <v>6.7220000000000004</v>
      </c>
      <c r="G10" s="628" t="s">
        <v>976</v>
      </c>
      <c r="H10" s="628"/>
      <c r="I10" s="1244"/>
    </row>
    <row r="11" spans="1:9" x14ac:dyDescent="0.3">
      <c r="A11" s="1822">
        <v>10</v>
      </c>
      <c r="B11" s="1828">
        <v>140</v>
      </c>
      <c r="C11" s="1830">
        <f t="shared" si="0"/>
        <v>2.0827134781315086E-2</v>
      </c>
    </row>
    <row r="12" spans="1:9" x14ac:dyDescent="0.3">
      <c r="A12" s="1822">
        <v>11</v>
      </c>
      <c r="B12" s="1828">
        <v>264</v>
      </c>
      <c r="C12" s="1830">
        <f t="shared" si="0"/>
        <v>3.9274025587622732E-2</v>
      </c>
    </row>
    <row r="13" spans="1:9" x14ac:dyDescent="0.3">
      <c r="A13" s="1822">
        <v>12</v>
      </c>
      <c r="B13" s="1828">
        <v>419</v>
      </c>
      <c r="C13" s="1830">
        <f t="shared" si="0"/>
        <v>6.2332639095507292E-2</v>
      </c>
    </row>
    <row r="14" spans="1:9" x14ac:dyDescent="0.3">
      <c r="A14" s="1822">
        <v>13</v>
      </c>
      <c r="B14" s="1828">
        <v>444</v>
      </c>
      <c r="C14" s="1830">
        <f t="shared" si="0"/>
        <v>6.6051770306456412E-2</v>
      </c>
    </row>
    <row r="15" spans="1:9" x14ac:dyDescent="0.3">
      <c r="A15" s="1822">
        <v>14</v>
      </c>
      <c r="B15" s="1828">
        <v>119</v>
      </c>
      <c r="C15" s="1830">
        <f t="shared" si="0"/>
        <v>1.7703064564117823E-2</v>
      </c>
    </row>
    <row r="16" spans="1:9" x14ac:dyDescent="0.3">
      <c r="A16" s="1822">
        <v>15</v>
      </c>
      <c r="B16" s="1828">
        <v>429</v>
      </c>
      <c r="C16" s="1830">
        <f t="shared" si="0"/>
        <v>6.3820291579886945E-2</v>
      </c>
    </row>
    <row r="17" spans="1:3" x14ac:dyDescent="0.3">
      <c r="A17" s="1822">
        <v>16</v>
      </c>
      <c r="B17" s="1828">
        <v>88</v>
      </c>
      <c r="C17" s="1830">
        <f t="shared" si="0"/>
        <v>1.309134186254091E-2</v>
      </c>
    </row>
    <row r="18" spans="1:3" x14ac:dyDescent="0.3">
      <c r="A18" s="1822">
        <v>17</v>
      </c>
      <c r="B18" s="1828">
        <v>353</v>
      </c>
      <c r="C18" s="1830">
        <f t="shared" si="0"/>
        <v>5.2514132698601605E-2</v>
      </c>
    </row>
    <row r="19" spans="1:3" x14ac:dyDescent="0.3">
      <c r="A19" s="1822">
        <v>18</v>
      </c>
      <c r="B19" s="1828">
        <v>189</v>
      </c>
      <c r="C19" s="1830">
        <f t="shared" si="0"/>
        <v>2.8116631954775366E-2</v>
      </c>
    </row>
    <row r="20" spans="1:3" x14ac:dyDescent="0.3">
      <c r="A20" s="1822">
        <v>19</v>
      </c>
      <c r="B20" s="1828">
        <v>245</v>
      </c>
      <c r="C20" s="1830">
        <f t="shared" si="0"/>
        <v>3.6447485867301399E-2</v>
      </c>
    </row>
    <row r="21" spans="1:3" x14ac:dyDescent="0.3">
      <c r="A21" s="1822">
        <v>20</v>
      </c>
      <c r="B21" s="1828">
        <v>424</v>
      </c>
      <c r="C21" s="1830">
        <f t="shared" si="0"/>
        <v>6.3076465337697118E-2</v>
      </c>
    </row>
    <row r="22" spans="1:3" x14ac:dyDescent="0.3">
      <c r="A22" s="1822">
        <v>21</v>
      </c>
      <c r="B22" s="1828">
        <v>196</v>
      </c>
      <c r="C22" s="1830">
        <f t="shared" si="0"/>
        <v>2.9157988693841119E-2</v>
      </c>
    </row>
    <row r="23" spans="1:3" x14ac:dyDescent="0.3">
      <c r="A23" s="1822">
        <v>22</v>
      </c>
      <c r="B23" s="1828">
        <v>191</v>
      </c>
      <c r="C23" s="1830">
        <f t="shared" si="0"/>
        <v>2.8414162451651296E-2</v>
      </c>
    </row>
    <row r="24" spans="1:3" x14ac:dyDescent="0.3">
      <c r="A24" s="1822">
        <v>23</v>
      </c>
      <c r="B24" s="1828">
        <v>184</v>
      </c>
      <c r="C24" s="1830">
        <f t="shared" si="0"/>
        <v>2.7372805712585539E-2</v>
      </c>
    </row>
    <row r="25" spans="1:3" x14ac:dyDescent="0.3">
      <c r="A25" s="1822">
        <v>24</v>
      </c>
      <c r="B25" s="1828">
        <v>110</v>
      </c>
      <c r="C25" s="1830">
        <f t="shared" si="0"/>
        <v>1.636417732817614E-2</v>
      </c>
    </row>
    <row r="26" spans="1:3" ht="15" thickBot="1" x14ac:dyDescent="0.35">
      <c r="A26" s="1822">
        <v>25</v>
      </c>
      <c r="B26" s="1828">
        <v>311</v>
      </c>
      <c r="C26" s="1830">
        <f t="shared" si="0"/>
        <v>4.6265992264207079E-2</v>
      </c>
    </row>
    <row r="27" spans="1:3" ht="15" thickBot="1" x14ac:dyDescent="0.35">
      <c r="A27" s="1929" t="str">
        <f>VLOOKUP("Total",tabIdiomas26[],MATCH('General Real Data (Obs.)'!$G$2,tabIdiomas26[#Headers]),FALSE)</f>
        <v>Total</v>
      </c>
      <c r="B27" s="1930">
        <f>SUM(B2:B26)</f>
        <v>6722</v>
      </c>
      <c r="C27" s="1931">
        <f>SUM(C2:C26)</f>
        <v>1</v>
      </c>
    </row>
    <row r="28" spans="1:3" hidden="1" x14ac:dyDescent="0.3">
      <c r="B28" s="36">
        <f>B27*12</f>
        <v>80664</v>
      </c>
    </row>
    <row r="29" spans="1:3" hidden="1" x14ac:dyDescent="0.3">
      <c r="B29" s="36">
        <f>B27/25*12</f>
        <v>3226.56</v>
      </c>
    </row>
    <row r="30" spans="1:3" hidden="1" x14ac:dyDescent="0.3"/>
    <row r="31" spans="1:3" ht="15" thickTop="1" x14ac:dyDescent="0.3"/>
  </sheetData>
  <sheetProtection algorithmName="SHA-512" hashValue="TRB8+Zd8SY99WBHWda+Jfk6bamVuEVG8NlWrECt46wegjsOVz0EpB8ZqcxwsBaorBcxfCLRSu9Ikrt5/qh87Ug==" saltValue="j6ZEek+Bj0TIGE//Ajw/eA==" spinCount="100000" sheet="1" objects="1" scenarios="1"/>
  <protectedRanges>
    <protectedRange sqref="B2:B26" name="Partners Real Data"/>
  </protectedRange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E2CC-849C-4DA7-BDC0-0914FBF68299}">
  <sheetPr>
    <tabColor theme="7" tint="0.59999389629810485"/>
  </sheetPr>
  <dimension ref="A1:G22"/>
  <sheetViews>
    <sheetView workbookViewId="0">
      <selection activeCell="E10" sqref="E10"/>
    </sheetView>
  </sheetViews>
  <sheetFormatPr baseColWidth="10" defaultColWidth="11.5546875" defaultRowHeight="14.4" x14ac:dyDescent="0.3"/>
  <cols>
    <col min="1" max="1" width="57.77734375" bestFit="1" customWidth="1"/>
    <col min="2" max="2" width="13.77734375" bestFit="1" customWidth="1"/>
    <col min="3" max="3" width="35.44140625" customWidth="1"/>
    <col min="5" max="5" width="48.21875" customWidth="1"/>
  </cols>
  <sheetData>
    <row r="1" spans="1:7" ht="15" thickBot="1" x14ac:dyDescent="0.35"/>
    <row r="2" spans="1:7" ht="15" thickTop="1" x14ac:dyDescent="0.3">
      <c r="A2" s="321" t="str">
        <f>VLOOKUP("Concepto",tabIdiomas[],MATCH('General Hipotheses (INTRO)'!$D$2,tabIdiomas[#Headers]),FALSE)</f>
        <v>Concept</v>
      </c>
      <c r="B2" s="60" t="str">
        <f>VLOOKUP("Valor",tabIdiomas[],MATCH('General Hipotheses (INTRO)'!$D$2,tabIdiomas[#Headers]),FALSE)</f>
        <v>Value</v>
      </c>
      <c r="C2" s="111" t="str">
        <f>VLOOKUP("Unidade",tabIdiomas[],MATCH('General Hipotheses (INTRO)'!$D$2,tabIdiomas[#Headers]),FALSE)</f>
        <v>Unit</v>
      </c>
      <c r="E2" s="196" t="str">
        <f>VLOOKUP("Potencia Contratada por Cada Socio Individual",tabIdiomas[],MATCH('General Hipotheses (INTRO)'!$D$2,tabIdiomas[#Headers]),FALSE)</f>
        <v>Electricity Power Agreed by Each Individual Partner</v>
      </c>
      <c r="F2" s="197" t="str">
        <f>VLOOKUP("KW",tabIdiomas[],MATCH('General Hipotheses (INTRO)'!$D$2,tabIdiomas[#Headers]),FALSE)</f>
        <v>KW</v>
      </c>
    </row>
    <row r="3" spans="1:7" x14ac:dyDescent="0.3">
      <c r="A3" s="380" t="str">
        <f>VLOOKUP("Termo de Potencia (P1)",tabIdiomas[],MATCH('General Hipotheses (INTRO)'!$D$2,tabIdiomas[#Headers]),FALSE)</f>
        <v>Power Term (Peak Period, Period 1)</v>
      </c>
      <c r="B3" s="50">
        <v>0.1</v>
      </c>
      <c r="C3" s="384" t="str">
        <f>VLOOKUP("€/KW e día",tabIdiomas[],MATCH('General Hipotheses (INTRO)'!$D$2,tabIdiomas[#Headers]),FALSE)</f>
        <v>€/KW and Day</v>
      </c>
      <c r="E3" s="180" t="str">
        <f>VLOOKUP("Termo de Potencia (P1)",tabIdiomas[],MATCH('General Hipotheses (INTRO)'!$D$2,tabIdiomas[#Headers]),FALSE)</f>
        <v>Power Term (Peak Period, Period 1)</v>
      </c>
      <c r="F3" s="200">
        <v>3.3</v>
      </c>
    </row>
    <row r="4" spans="1:7" ht="15" thickBot="1" x14ac:dyDescent="0.35">
      <c r="A4" s="380" t="str">
        <f>VLOOKUP("Termo de Potencia (P2)",tabIdiomas[],MATCH('General Hipotheses (INTRO)'!$D$2,tabIdiomas[#Headers]),FALSE)</f>
        <v>Power Term (Valley Period, Period 2)</v>
      </c>
      <c r="B4" s="50">
        <v>0.03</v>
      </c>
      <c r="C4" s="384" t="str">
        <f>VLOOKUP("€/KW e día",tabIdiomas[],MATCH('General Hipotheses (INTRO)'!$D$2,tabIdiomas[#Headers]),FALSE)</f>
        <v>€/KW and Day</v>
      </c>
      <c r="E4" s="182" t="str">
        <f>VLOOKUP("Termo de Potencia (P2)",tabIdiomas[],MATCH('General Hipotheses (INTRO)'!$D$2,tabIdiomas[#Headers]),FALSE)</f>
        <v>Power Term (Valley Period, Period 2)</v>
      </c>
      <c r="F4" s="201">
        <v>3.3</v>
      </c>
    </row>
    <row r="5" spans="1:7" ht="15.6" thickTop="1" thickBot="1" x14ac:dyDescent="0.35">
      <c r="A5" s="381" t="str">
        <f>VLOOKUP("Financiación Bono Social",tabIdiomas[],MATCH('General Hipotheses (INTRO)'!$D$2,tabIdiomas[#Headers]),FALSE)</f>
        <v>Social Bonus Financing</v>
      </c>
      <c r="B5" s="177">
        <v>3.8455000000000003E-2</v>
      </c>
      <c r="C5" s="385" t="str">
        <f>VLOOKUP("€/día",tabIdiomas[],MATCH('General Hipotheses (INTRO)'!$D$2,tabIdiomas[#Headers]),FALSE)</f>
        <v>€/Day</v>
      </c>
    </row>
    <row r="6" spans="1:7" ht="15.6" thickTop="1" thickBot="1" x14ac:dyDescent="0.35">
      <c r="A6" s="382" t="str">
        <f>VLOOKUP("Imposto sobre a Electricidade (Tipo Habitual)",tabIdiomas[],MATCH('General Hipotheses (INTRO)'!$D$2,tabIdiomas[#Headers]),FALSE)</f>
        <v>Electricity Special Tax (Ordinary Tax Rate) (%)</v>
      </c>
      <c r="B6" s="189">
        <v>5.11269632E-2</v>
      </c>
      <c r="C6" s="386" t="str">
        <f>VLOOKUP("% s/ Suma Conceptos Previos",tabIdiomas[],MATCH('General Hipotheses (INTRO)'!$D$2,tabIdiomas[#Headers]),FALSE)</f>
        <v>% s/ Sum of Previous Concepts</v>
      </c>
      <c r="E6" s="210" t="str">
        <f>VLOOKUP("Imposto s/Electricidade Reducido? (Si / Non)",tabIdiomas[],MATCH('General Hipotheses (INTRO)'!$D$2,tabIdiomas[#Headers]),FALSE)</f>
        <v>Reduced Tax Rate for the Electricity Special Tax? (Yes / No)</v>
      </c>
      <c r="F6" s="194"/>
      <c r="G6" s="194"/>
    </row>
    <row r="7" spans="1:7" ht="15" thickBot="1" x14ac:dyDescent="0.35">
      <c r="A7" s="381" t="str">
        <f>VLOOKUP("Imposto sobre a Electricidade (Tipo Reducido Temporalmente)",tabIdiomas[],MATCH('General Hipotheses (INTRO)'!$D$2,tabIdiomas[#Headers]),FALSE)</f>
        <v>Electricity Special Tax (Temporary Reduced Tax Rate) (%)</v>
      </c>
      <c r="B7" s="190">
        <v>5.0000000000000001E-3</v>
      </c>
      <c r="C7" s="385" t="str">
        <f>VLOOKUP("% s/ Suma Conceptos Previos",tabIdiomas[],MATCH('General Hipotheses (INTRO)'!$D$2,tabIdiomas[#Headers]),FALSE)</f>
        <v>% s/ Sum of Previous Concepts</v>
      </c>
      <c r="E7" s="107" t="s">
        <v>7</v>
      </c>
    </row>
    <row r="8" spans="1:7" ht="15.6" thickTop="1" thickBot="1" x14ac:dyDescent="0.35">
      <c r="A8" s="383" t="str">
        <f>VLOOKUP("Aluguer do contador",tabIdiomas[],MATCH('General Hipotheses (INTRO)'!$D$2,tabIdiomas[#Headers]),FALSE)</f>
        <v>Electricity Meter Rental</v>
      </c>
      <c r="B8" s="186">
        <v>2.6786000000000001E-2</v>
      </c>
      <c r="C8" s="387" t="str">
        <f>VLOOKUP("€/día",tabIdiomas[],MATCH('General Hipotheses (INTRO)'!$D$2,tabIdiomas[#Headers]),FALSE)</f>
        <v>€/Day</v>
      </c>
    </row>
    <row r="9" spans="1:7" x14ac:dyDescent="0.3">
      <c r="A9" s="152" t="str">
        <f>VLOOKUP("IVE (Tipo Habitual)",tabIdiomas[],MATCH('General Hipotheses (INTRO)'!$D$2,tabIdiomas[#Headers]),FALSE)</f>
        <v>VAT (Ordinary Tax Rate)</v>
      </c>
      <c r="B9" s="191">
        <v>0.21</v>
      </c>
      <c r="C9" s="185" t="str">
        <f>VLOOKUP("% s/ BI (Suma Conceptos Previos)",tabIdiomas[],MATCH('General Hipotheses (INTRO)'!$D$2,tabIdiomas[#Headers]),FALSE)</f>
        <v>% s/ Tax Base (Sum of Previous Concepts)</v>
      </c>
      <c r="E9" s="210" t="str">
        <f>VLOOKUP("IVE: Tipo Impositivo Aplicable (H / R / S)",tabIdiomas[],MATCH('General Hipotheses (INTRO)'!$D$2,tabIdiomas[#Headers]),FALSE)</f>
        <v>VAT Tax Rate</v>
      </c>
    </row>
    <row r="10" spans="1:7" ht="15" thickBot="1" x14ac:dyDescent="0.35">
      <c r="A10" s="150" t="str">
        <f>VLOOKUP("IVE (Tipo Reducido Electricidade)",tabIdiomas[],MATCH('General Hipotheses (INTRO)'!$D$2,tabIdiomas[#Headers]),FALSE)</f>
        <v>VAT (Reduced Electricity Tax Rate)</v>
      </c>
      <c r="B10" s="192">
        <v>0.1</v>
      </c>
      <c r="C10" s="181" t="str">
        <f>VLOOKUP("% s/ BI (Suma Conceptos Previos)",tabIdiomas[],MATCH('General Hipotheses (INTRO)'!$D$2,tabIdiomas[#Headers]),FALSE)</f>
        <v>% s/ Tax Base (Sum of Previous Concepts)</v>
      </c>
      <c r="E10" s="327" t="s">
        <v>589</v>
      </c>
    </row>
    <row r="11" spans="1:7" ht="15.6" thickTop="1" thickBot="1" x14ac:dyDescent="0.35">
      <c r="A11" s="151" t="str">
        <f>VLOOKUP("IVE (Tipo Super-Reducido Electr.)",tabIdiomas[],MATCH('General Hipotheses (INTRO)'!$D$2,tabIdiomas[#Headers]),FALSE)</f>
        <v>VAT (Extra-Reduced Electricity Tax Rate)</v>
      </c>
      <c r="B11" s="193">
        <v>0.05</v>
      </c>
      <c r="C11" s="183" t="str">
        <f>VLOOKUP("% s/ BI (Suma Conceptos Previos)",tabIdiomas[],MATCH('General Hipotheses (INTRO)'!$D$2,tabIdiomas[#Headers]),FALSE)</f>
        <v>% s/ Tax Base (Sum of Previous Concepts)</v>
      </c>
    </row>
    <row r="12" spans="1:7" ht="15" thickTop="1" x14ac:dyDescent="0.3"/>
    <row r="13" spans="1:7" x14ac:dyDescent="0.3">
      <c r="F13" s="195"/>
      <c r="G13" s="195"/>
    </row>
    <row r="14" spans="1:7" ht="15" hidden="1" thickTop="1" x14ac:dyDescent="0.3">
      <c r="A14" s="196" t="str">
        <f>VLOOKUP("Concepto",tabIdiomas[],MATCH('General Hipotheses (INTRO)'!$D$2,tabIdiomas[#Headers]),FALSE)</f>
        <v>Concept</v>
      </c>
      <c r="B14" s="197" t="s">
        <v>17</v>
      </c>
    </row>
    <row r="15" spans="1:7" hidden="1" x14ac:dyDescent="0.3">
      <c r="A15" s="180" t="str">
        <f>$A$9</f>
        <v>VAT (Ordinary Tax Rate)</v>
      </c>
      <c r="B15" s="198" t="s">
        <v>18</v>
      </c>
    </row>
    <row r="16" spans="1:7" hidden="1" x14ac:dyDescent="0.3">
      <c r="A16" s="180" t="str">
        <f>$A$10</f>
        <v>VAT (Reduced Electricity Tax Rate)</v>
      </c>
      <c r="B16" s="198" t="s">
        <v>19</v>
      </c>
    </row>
    <row r="17" spans="1:2" ht="15" hidden="1" thickBot="1" x14ac:dyDescent="0.35">
      <c r="A17" s="182" t="str">
        <f>$A$11</f>
        <v>VAT (Extra-Reduced Electricity Tax Rate)</v>
      </c>
      <c r="B17" s="199" t="s">
        <v>20</v>
      </c>
    </row>
    <row r="20" spans="1:2" ht="28.2" hidden="1" thickTop="1" x14ac:dyDescent="0.3">
      <c r="A20" s="388" t="str">
        <f>VLOOKUP("Hipóteses Participación Heteroxénea (Distrib. Aleatoria dos Consumos)",tabIdiomas[],MATCH('General Hipotheses (INTRO)'!$D$2,tabIdiomas[#Headers]),FALSE)</f>
        <v>Heterogeneous Participation Hypotheses (Partners' Consumptions Randomly Distributed)</v>
      </c>
      <c r="B20" s="197"/>
    </row>
    <row r="21" spans="1:2" ht="28.8" hidden="1" x14ac:dyDescent="0.3">
      <c r="A21" s="150" t="str">
        <f>VLOOKUP("Consumo Mensual Máximo de Cada Socio Individual (KWh)",tabIdiomas[],MATCH('General Hipotheses (INTRO)'!$D$2,tabIdiomas[#Headers]),FALSE)</f>
        <v>Maximum Monthly Electricity Consumption for Each Indiv. Partner (KWh)</v>
      </c>
      <c r="B21" s="200">
        <v>525</v>
      </c>
    </row>
    <row r="22" spans="1:2" ht="29.4" hidden="1" thickBot="1" x14ac:dyDescent="0.35">
      <c r="A22" s="151" t="str">
        <f>VLOOKUP("Consumo Mensual Mínimo de Cada Socio Individual (KWh)",tabIdiomas[],MATCH('General Hipotheses (INTRO)'!$D$2,tabIdiomas[#Headers]),FALSE)</f>
        <v>Minimum Monthly Electricity Consumption for Each Indiv. Partner (KWh)</v>
      </c>
      <c r="B22" s="201">
        <v>75</v>
      </c>
    </row>
  </sheetData>
  <sheetProtection algorithmName="SHA-512" hashValue="trLynqLmfQXOmNrFgyb7h2f5zqW6rCD/fgiwD0bHVbrXPrtBlrvr0wVnEZ2zWADBKv5SBIvlQrmjOjHsaPfofw==" saltValue="70SYnd+f3ZhvfN9JQjx01Q==" spinCount="100000" sheet="1" objects="1" scenarios="1"/>
  <protectedRanges>
    <protectedRange sqref="B3:B11 F3:F4 E7 E10" name="Custos Factura Eléctrica"/>
  </protectedRanges>
  <dataValidations count="5">
    <dataValidation type="list" allowBlank="1" showDropDown="1" showInputMessage="1" showErrorMessage="1" sqref="B15" xr:uid="{58A9D955-3F92-475B-A667-EA1753850AFC}">
      <formula1>"H"</formula1>
    </dataValidation>
    <dataValidation type="list" allowBlank="1" showDropDown="1" showInputMessage="1" showErrorMessage="1" sqref="B16" xr:uid="{112EF271-9272-4247-AC41-6A745C1D47EF}">
      <formula1>"R"</formula1>
    </dataValidation>
    <dataValidation type="list" allowBlank="1" showDropDown="1" showInputMessage="1" showErrorMessage="1" sqref="B17" xr:uid="{A1E20429-7577-4830-BD5F-E6CA8033665B}">
      <formula1>"S"</formula1>
    </dataValidation>
    <dataValidation type="decimal" operator="greaterThanOrEqual" allowBlank="1" showInputMessage="1" showErrorMessage="1" sqref="F3:F4 B3:B5 B8 B21:B22" xr:uid="{46EC0D89-6033-4EA0-8B26-6F61A0756F8C}">
      <formula1>0</formula1>
    </dataValidation>
    <dataValidation type="decimal" allowBlank="1" showInputMessage="1" showErrorMessage="1" sqref="B6:B7 B9:B11" xr:uid="{07243420-65DF-46BE-8651-F51FEFBE2063}">
      <formula1>0</formula1>
      <formula2>1</formula2>
    </dataValidation>
  </dataValidations>
  <printOptions horizontalCentered="1"/>
  <pageMargins left="0.70866141732283472" right="0.70866141732283472" top="0.74803149606299213" bottom="0.74803149606299213" header="0.31496062992125984" footer="0.31496062992125984"/>
  <pageSetup paperSize="9"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F387DE4-7918-48B0-AFA6-D2FF6719E875}">
          <x14:formula1>
            <xm:f>'Cuestións e Respostas'!$AZ$3:$AZ$5</xm:f>
          </x14:formula1>
          <xm:sqref>E10</xm:sqref>
        </x14:dataValidation>
        <x14:dataValidation type="list" allowBlank="1" showInputMessage="1" showErrorMessage="1" xr:uid="{46F0958B-5543-4BFF-97E8-1AA1A74EB972}">
          <x14:formula1>
            <xm:f>'Cuestións e Respostas'!$AX$3:$AX$4</xm:f>
          </x14:formula1>
          <xm:sqref>E7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727F-246B-49B0-B7EB-59D73A7E7BD7}">
  <sheetPr>
    <tabColor theme="9" tint="0.39997558519241921"/>
  </sheetPr>
  <dimension ref="A2:G22"/>
  <sheetViews>
    <sheetView workbookViewId="0">
      <selection activeCell="B23" sqref="B23"/>
    </sheetView>
  </sheetViews>
  <sheetFormatPr baseColWidth="10" defaultColWidth="11.5546875" defaultRowHeight="14.4" x14ac:dyDescent="0.3"/>
  <cols>
    <col min="1" max="1" width="57.77734375" bestFit="1" customWidth="1"/>
    <col min="2" max="2" width="13.77734375" bestFit="1" customWidth="1"/>
    <col min="3" max="3" width="35.44140625" customWidth="1"/>
    <col min="4" max="4" width="11.5546875" bestFit="1" customWidth="1"/>
    <col min="5" max="5" width="48.21875" customWidth="1"/>
  </cols>
  <sheetData>
    <row r="2" spans="1:7" x14ac:dyDescent="0.3">
      <c r="A2" s="60" t="str">
        <f>VLOOKUP("Concepto",tabIdiomas[],MATCH('Hipóteses Xerais'!$D$2,tabIdiomas[#Headers]),FALSE)</f>
        <v>Concepto</v>
      </c>
      <c r="B2" s="60" t="str">
        <f>VLOOKUP("Valor",tabIdiomas[],MATCH('Hipóteses Xerais'!$D$2,tabIdiomas[#Headers]),FALSE)</f>
        <v>Valor</v>
      </c>
      <c r="C2" s="110" t="str">
        <f>VLOOKUP("Unidade",tabIdiomas[],MATCH('Hipóteses Xerais'!$D$2,tabIdiomas[#Headers]),FALSE)</f>
        <v>Unidade</v>
      </c>
      <c r="E2" s="196" t="str">
        <f>VLOOKUP("Potencia Contratada por Cada Socio Individual",tabIdiomas[],MATCH('Hipóteses Xerais'!$D$2,tabIdiomas[#Headers]),FALSE)</f>
        <v>Potencia Contratada por Cada Socio Individual</v>
      </c>
      <c r="F2" s="197" t="str">
        <f>VLOOKUP("KW",tabIdiomas[],MATCH('Hipóteses Xerais'!$D$2,tabIdiomas[#Headers]),FALSE)</f>
        <v>KW</v>
      </c>
    </row>
    <row r="3" spans="1:7" x14ac:dyDescent="0.3">
      <c r="A3" s="231" t="str">
        <f>VLOOKUP("Termo de Potencia (P1)",tabIdiomas[],MATCH('Hipóteses Xerais'!$D$2,tabIdiomas[#Headers]),FALSE)</f>
        <v>Termo de Potencia (P1)</v>
      </c>
      <c r="B3" s="273">
        <f>'Electric Invoice Actual Costs'!B3</f>
        <v>0.1</v>
      </c>
      <c r="C3" s="176" t="str">
        <f>VLOOKUP("€/KW e día",tabIdiomas[],MATCH('Hipóteses Xerais'!$D$2,tabIdiomas[#Headers]),FALSE)</f>
        <v>€/KW e día</v>
      </c>
      <c r="E3" s="180" t="str">
        <f>VLOOKUP("Termo de Potencia (P1)",tabIdiomas[],MATCH('Hipóteses Xerais'!$D$2,tabIdiomas[#Headers]),FALSE)</f>
        <v>Termo de Potencia (P1)</v>
      </c>
      <c r="F3" s="314">
        <f>'Electric Invoice Actual Costs'!F3</f>
        <v>3.3</v>
      </c>
    </row>
    <row r="4" spans="1:7" x14ac:dyDescent="0.3">
      <c r="A4" s="231" t="str">
        <f>VLOOKUP("Termo de Potencia (P2)",tabIdiomas[],MATCH('Hipóteses Xerais'!$D$2,tabIdiomas[#Headers]),FALSE)</f>
        <v>Termo de Potencia (P2)</v>
      </c>
      <c r="B4" s="273">
        <f>'Electric Invoice Actual Costs'!B4</f>
        <v>0.03</v>
      </c>
      <c r="C4" s="176" t="str">
        <f>VLOOKUP("€/KW e día",tabIdiomas[],MATCH('Hipóteses Xerais'!$D$2,tabIdiomas[#Headers]),FALSE)</f>
        <v>€/KW e día</v>
      </c>
      <c r="E4" s="182" t="str">
        <f>VLOOKUP("Termo de Potencia (P2)",tabIdiomas[],MATCH('Hipóteses Xerais'!$D$2,tabIdiomas[#Headers]),FALSE)</f>
        <v>Termo de Potencia (P2)</v>
      </c>
      <c r="F4" s="315">
        <f>'Electric Invoice Actual Costs'!F4</f>
        <v>3.3</v>
      </c>
    </row>
    <row r="5" spans="1:7" x14ac:dyDescent="0.3">
      <c r="A5" s="232" t="str">
        <f>VLOOKUP("Financiación Bono Social",tabIdiomas[],MATCH('Hipóteses Xerais'!$D$2,tabIdiomas[#Headers]),FALSE)</f>
        <v>Financiación Bono Social</v>
      </c>
      <c r="B5" s="307">
        <f>'Electric Invoice Actual Costs'!B5</f>
        <v>3.8455000000000003E-2</v>
      </c>
      <c r="C5" s="178" t="str">
        <f>VLOOKUP("€/día",tabIdiomas[],MATCH('Hipóteses Xerais'!$D$2,tabIdiomas[#Headers]),FALSE)</f>
        <v>€/día</v>
      </c>
    </row>
    <row r="6" spans="1:7" x14ac:dyDescent="0.3">
      <c r="A6" s="233" t="str">
        <f>VLOOKUP("Imposto sobre a Electricidade (Tipo Habitual)",tabIdiomas[],MATCH('Hipóteses Xerais'!$D$2,tabIdiomas[#Headers]),FALSE)</f>
        <v>Imposto sobre a Electricidade (Tipo Habitual)</v>
      </c>
      <c r="B6" s="308">
        <f>'Electric Invoice Actual Costs'!B6</f>
        <v>5.11269632E-2</v>
      </c>
      <c r="C6" s="179" t="str">
        <f>VLOOKUP("% s/ Suma Conceptos Previos",tabIdiomas[],MATCH('Hipóteses Xerais'!$D$2,tabIdiomas[#Headers]),FALSE)</f>
        <v>% s/ Suma Conceptos Previos</v>
      </c>
      <c r="E6" s="106" t="str">
        <f>VLOOKUP("Imposto s/Electricidade Reducido? (Si / Non)",tabIdiomas[],MATCH('Hipóteses Xerais'!$D$2,tabIdiomas[#Headers]),FALSE)</f>
        <v>Imposto s/Electricidade Reducido? (Si / Non)</v>
      </c>
      <c r="F6" s="194"/>
      <c r="G6" s="194"/>
    </row>
    <row r="7" spans="1:7" x14ac:dyDescent="0.3">
      <c r="A7" s="232" t="str">
        <f>VLOOKUP("Imposto sobre a Electricidade (Tipo Reducido Temporalmente)",tabIdiomas[],MATCH('Hipóteses Xerais'!$D$2,tabIdiomas[#Headers]),FALSE)</f>
        <v>Imposto sobre a Electricidade (Tipo Reducido Temporalmente)</v>
      </c>
      <c r="B7" s="309">
        <f>'Electric Invoice Actual Costs'!B7</f>
        <v>5.0000000000000001E-3</v>
      </c>
      <c r="C7" s="178" t="str">
        <f>VLOOKUP("% s/ Suma Conceptos Previos",tabIdiomas[],MATCH('Hipóteses Xerais'!$D$2,tabIdiomas[#Headers]),FALSE)</f>
        <v>% s/ Suma Conceptos Previos</v>
      </c>
      <c r="E7" s="301" t="str">
        <f>INDEX(tabRespPreg151013141611171819212223242528[Respuestas Pregunta],MATCH('Electric Invoice Actual Costs'!E7,tabRespPreg151013141611171819212223242528[Opciones mostradas],0),1)</f>
        <v>Si</v>
      </c>
    </row>
    <row r="8" spans="1:7" x14ac:dyDescent="0.3">
      <c r="A8" s="187" t="str">
        <f>VLOOKUP("Aluguer do contador",tabIdiomas[],MATCH('Hipóteses Xerais'!$D$2,tabIdiomas[#Headers]),FALSE)</f>
        <v>Aluguer do contador</v>
      </c>
      <c r="B8" s="310">
        <f>'Electric Invoice Actual Costs'!B8</f>
        <v>2.6786000000000001E-2</v>
      </c>
      <c r="C8" s="188" t="str">
        <f>VLOOKUP("€/día",tabIdiomas[],MATCH('Hipóteses Xerais'!$D$2,tabIdiomas[#Headers]),FALSE)</f>
        <v>€/día</v>
      </c>
    </row>
    <row r="9" spans="1:7" x14ac:dyDescent="0.3">
      <c r="A9" s="184" t="str">
        <f>VLOOKUP("IVE (Tipo Habitual)",tabIdiomas[],MATCH('Hipóteses Xerais'!$D$2,tabIdiomas[#Headers]),FALSE)</f>
        <v>IVE (Tipo Habitual)</v>
      </c>
      <c r="B9" s="311">
        <f>'Electric Invoice Actual Costs'!B9</f>
        <v>0.21</v>
      </c>
      <c r="C9" s="185" t="str">
        <f>VLOOKUP("% s/ BI (Suma Conceptos Previos)",tabIdiomas[],MATCH('Hipóteses Xerais'!$D$2,tabIdiomas[#Headers]),FALSE)</f>
        <v>% s/ BI (Suma Conceptos Previos)</v>
      </c>
      <c r="E9" s="106" t="str">
        <f>VLOOKUP("IVE: Tipo Impositivo Aplicable (H / R / S)",tabIdiomas[],MATCH('Hipóteses Xerais'!$D$2,tabIdiomas[#Headers]),FALSE)</f>
        <v>IVE: Tipo Impositivo Aplicable (H / R / S)</v>
      </c>
    </row>
    <row r="10" spans="1:7" x14ac:dyDescent="0.3">
      <c r="A10" s="180" t="str">
        <f>VLOOKUP("IVE (Tipo Reducido Electricidade)",tabIdiomas[],MATCH('Hipóteses Xerais'!$D$2,tabIdiomas[#Headers]),FALSE)</f>
        <v>IVE (Tipo Reducido Electricidade)</v>
      </c>
      <c r="B10" s="312">
        <f>'Electric Invoice Actual Costs'!B10</f>
        <v>0.1</v>
      </c>
      <c r="C10" s="181" t="str">
        <f>VLOOKUP("% s/ BI (Suma Conceptos Previos)",tabIdiomas[],MATCH('Hipóteses Xerais'!$D$2,tabIdiomas[#Headers]),FALSE)</f>
        <v>% s/ BI (Suma Conceptos Previos)</v>
      </c>
      <c r="E10" s="301" t="str">
        <f>INDEX(tabRespPreg1122729[Respuestas Pregunta],MATCH('Electric Invoice Actual Costs'!E10,tabRespPreg1122729[Opciones mostradas],0),1)</f>
        <v>H</v>
      </c>
    </row>
    <row r="11" spans="1:7" x14ac:dyDescent="0.3">
      <c r="A11" s="182" t="str">
        <f>VLOOKUP("IVE (Tipo Super-Reducido Electr.)",tabIdiomas[],MATCH('Hipóteses Xerais'!$D$2,tabIdiomas[#Headers]),FALSE)</f>
        <v>IVE (Tipo Super-Reducido Electr.)</v>
      </c>
      <c r="B11" s="313">
        <f>'Electric Invoice Actual Costs'!B11</f>
        <v>0.05</v>
      </c>
      <c r="C11" s="183" t="str">
        <f>VLOOKUP("% s/ BI (Suma Conceptos Previos)",tabIdiomas[],MATCH('Hipóteses Xerais'!$D$2,tabIdiomas[#Headers]),FALSE)</f>
        <v>% s/ BI (Suma Conceptos Previos)</v>
      </c>
    </row>
    <row r="13" spans="1:7" x14ac:dyDescent="0.3">
      <c r="F13" s="195"/>
      <c r="G13" s="195"/>
    </row>
    <row r="14" spans="1:7" hidden="1" x14ac:dyDescent="0.3">
      <c r="A14" s="196" t="str">
        <f>VLOOKUP("Concepto",tabIdiomas[],MATCH('Hipóteses Xerais'!$D$2,tabIdiomas[#Headers]),FALSE)</f>
        <v>Concepto</v>
      </c>
      <c r="B14" s="197" t="s">
        <v>17</v>
      </c>
    </row>
    <row r="15" spans="1:7" hidden="1" x14ac:dyDescent="0.3">
      <c r="A15" s="180" t="str">
        <f>$A$9</f>
        <v>IVE (Tipo Habitual)</v>
      </c>
      <c r="B15" s="198" t="s">
        <v>18</v>
      </c>
    </row>
    <row r="16" spans="1:7" hidden="1" x14ac:dyDescent="0.3">
      <c r="A16" s="180" t="str">
        <f>$A$10</f>
        <v>IVE (Tipo Reducido Electricidade)</v>
      </c>
      <c r="B16" s="198" t="s">
        <v>19</v>
      </c>
    </row>
    <row r="17" spans="1:2" hidden="1" x14ac:dyDescent="0.3">
      <c r="A17" s="182" t="str">
        <f>$A$11</f>
        <v>IVE (Tipo Super-Reducido Electr.)</v>
      </c>
      <c r="B17" s="199" t="s">
        <v>20</v>
      </c>
    </row>
    <row r="20" spans="1:2" x14ac:dyDescent="0.3">
      <c r="A20" s="234" t="str">
        <f>VLOOKUP("Hipóteses Participación Heteroxénea (Distrib. Aleatoria dos Consumos)",tabIdiomas[],MATCH('Hipóteses Xerais'!$D$2,tabIdiomas[#Headers]),FALSE)</f>
        <v>Hipóteses Participación Heteroxénea (Distrib. Aleatoria dos Consumos)</v>
      </c>
      <c r="B20" s="197"/>
    </row>
    <row r="21" spans="1:2" x14ac:dyDescent="0.3">
      <c r="A21" s="150" t="str">
        <f>VLOOKUP("Consumo Mensual Máximo de Cada Socio Individual (KWh)",tabIdiomas[],MATCH('Hipóteses Xerais'!$D$2,tabIdiomas[#Headers]),FALSE)</f>
        <v>Consumo Mensual Máximo de Cada Socio Individual (KWh)</v>
      </c>
      <c r="B21" s="314">
        <f>'Electric Invoice Actual Costs'!B21</f>
        <v>525</v>
      </c>
    </row>
    <row r="22" spans="1:2" x14ac:dyDescent="0.3">
      <c r="A22" s="151" t="str">
        <f>VLOOKUP("Consumo Mensual Mínimo de Cada Socio Individual (KWh)",tabIdiomas[],MATCH('Hipóteses Xerais'!$D$2,tabIdiomas[#Headers]),FALSE)</f>
        <v>Consumo Mensual Mínimo de Cada Socio Individual (KWh)</v>
      </c>
      <c r="B22" s="315">
        <f>'Electric Invoice Actual Costs'!B22</f>
        <v>75</v>
      </c>
    </row>
  </sheetData>
  <protectedRanges>
    <protectedRange sqref="B3:B11 E7 E10 B21:B22 F3:F4" name="Custos Factura Eléctrica"/>
  </protectedRanges>
  <dataValidations count="5">
    <dataValidation type="decimal" allowBlank="1" showInputMessage="1" showErrorMessage="1" sqref="B6:B7 B9:B11" xr:uid="{8C40DFF7-8ED3-4A04-A711-72FA9B624550}">
      <formula1>0</formula1>
      <formula2>1</formula2>
    </dataValidation>
    <dataValidation type="decimal" operator="greaterThanOrEqual" allowBlank="1" showInputMessage="1" showErrorMessage="1" sqref="F3:F4 B3:B5 B8 B21:B22" xr:uid="{93A28EBD-3DCE-4774-9C3A-C707FA22A142}">
      <formula1>0</formula1>
    </dataValidation>
    <dataValidation type="list" allowBlank="1" showDropDown="1" showInputMessage="1" showErrorMessage="1" sqref="B17" xr:uid="{1E50FDB5-6743-4E5A-A0CB-47AD49CCAF70}">
      <formula1>"S"</formula1>
    </dataValidation>
    <dataValidation type="list" allowBlank="1" showDropDown="1" showInputMessage="1" showErrorMessage="1" sqref="B16" xr:uid="{72545C32-2383-49A2-90EF-5948182A766F}">
      <formula1>"R"</formula1>
    </dataValidation>
    <dataValidation type="list" allowBlank="1" showDropDown="1" showInputMessage="1" showErrorMessage="1" sqref="B15" xr:uid="{2B4019E4-12DC-43D4-A324-B30F760FFAF0}">
      <formula1>"H"</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6DB7-73A1-4B4D-AA2C-CC3A42F17B26}">
  <sheetPr>
    <tabColor rgb="FFFFFF00"/>
    <pageSetUpPr fitToPage="1"/>
  </sheetPr>
  <dimension ref="A1:E192"/>
  <sheetViews>
    <sheetView topLeftCell="A188" zoomScale="94" zoomScaleNormal="94" workbookViewId="0">
      <selection activeCell="F2" sqref="F2"/>
    </sheetView>
  </sheetViews>
  <sheetFormatPr baseColWidth="10" defaultColWidth="11.44140625" defaultRowHeight="14.4" x14ac:dyDescent="0.3"/>
  <cols>
    <col min="1" max="5" width="40.77734375" customWidth="1"/>
    <col min="6" max="6" width="19.5546875" bestFit="1" customWidth="1"/>
    <col min="7" max="7" width="21.21875" bestFit="1" customWidth="1"/>
    <col min="8" max="8" width="20.5546875" bestFit="1" customWidth="1"/>
  </cols>
  <sheetData>
    <row r="1" spans="1:5" x14ac:dyDescent="0.3">
      <c r="A1" t="s">
        <v>10</v>
      </c>
      <c r="B1" t="s">
        <v>21</v>
      </c>
      <c r="C1" t="s">
        <v>22</v>
      </c>
      <c r="D1" t="s">
        <v>23</v>
      </c>
      <c r="E1" t="s">
        <v>0</v>
      </c>
    </row>
    <row r="2" spans="1:5" x14ac:dyDescent="0.3">
      <c r="A2" s="316" t="s">
        <v>24</v>
      </c>
      <c r="B2" s="316" t="s">
        <v>25</v>
      </c>
      <c r="C2" s="316" t="s">
        <v>26</v>
      </c>
      <c r="D2" s="316" t="s">
        <v>27</v>
      </c>
      <c r="E2" s="316" t="str">
        <f>tabIdiomas[[#This Row],[Cadena]]</f>
        <v>Hipóteses Xerais</v>
      </c>
    </row>
    <row r="3" spans="1:5" x14ac:dyDescent="0.3">
      <c r="A3" s="316" t="s">
        <v>28</v>
      </c>
      <c r="B3" s="316" t="s">
        <v>29</v>
      </c>
      <c r="C3" s="316" t="s">
        <v>30</v>
      </c>
      <c r="D3" s="316" t="s">
        <v>31</v>
      </c>
      <c r="E3" s="316" t="str">
        <f>tabIdiomas[[#This Row],[Cadena]]</f>
        <v>Lingua</v>
      </c>
    </row>
    <row r="4" spans="1:5" x14ac:dyDescent="0.3">
      <c r="A4" s="316" t="s">
        <v>32</v>
      </c>
      <c r="B4" s="316" t="s">
        <v>33</v>
      </c>
      <c r="C4" s="316" t="s">
        <v>34</v>
      </c>
      <c r="D4" s="316" t="s">
        <v>35</v>
      </c>
      <c r="E4" s="316" t="str">
        <f>tabIdiomas[[#This Row],[Cadena]]</f>
        <v>Emprazamento das Instalacións (Xeral)</v>
      </c>
    </row>
    <row r="5" spans="1:5" x14ac:dyDescent="0.3">
      <c r="A5" s="316" t="s">
        <v>36</v>
      </c>
      <c r="B5" s="316" t="s">
        <v>37</v>
      </c>
      <c r="C5" s="316" t="s">
        <v>38</v>
      </c>
      <c r="D5" s="316" t="s">
        <v>39</v>
      </c>
      <c r="E5" s="316" t="str">
        <f>tabIdiomas[[#This Row],[Cadena]]</f>
        <v>Área Xeográfica</v>
      </c>
    </row>
    <row r="6" spans="1:5" x14ac:dyDescent="0.3">
      <c r="A6" s="316" t="s">
        <v>1</v>
      </c>
      <c r="B6" s="316" t="s">
        <v>1</v>
      </c>
      <c r="C6" s="316" t="s">
        <v>1</v>
      </c>
      <c r="D6" s="316" t="s">
        <v>1</v>
      </c>
      <c r="E6" s="316" t="str">
        <f>tabIdiomas[[#This Row],[Cadena]]</f>
        <v>Galicia</v>
      </c>
    </row>
    <row r="7" spans="1:5" x14ac:dyDescent="0.3">
      <c r="A7" s="316" t="s">
        <v>40</v>
      </c>
      <c r="B7" s="316" t="s">
        <v>41</v>
      </c>
      <c r="C7" s="316" t="s">
        <v>2</v>
      </c>
      <c r="D7" s="316" t="s">
        <v>40</v>
      </c>
      <c r="E7" s="316" t="str">
        <f>tabIdiomas[[#This Row],[Cadena]]</f>
        <v>Resto de España</v>
      </c>
    </row>
    <row r="8" spans="1:5" x14ac:dyDescent="0.3">
      <c r="A8" s="316" t="s">
        <v>42</v>
      </c>
      <c r="B8" s="316" t="s">
        <v>43</v>
      </c>
      <c r="C8" s="316" t="s">
        <v>44</v>
      </c>
      <c r="D8" s="316" t="s">
        <v>45</v>
      </c>
      <c r="E8" s="316" t="str">
        <f>tabIdiomas[[#This Row],[Cadena]]</f>
        <v>Estranxeiro</v>
      </c>
    </row>
    <row r="9" spans="1:5" x14ac:dyDescent="0.3">
      <c r="A9" s="316" t="s">
        <v>46</v>
      </c>
      <c r="B9" s="316" t="s">
        <v>47</v>
      </c>
      <c r="C9" s="316" t="s">
        <v>48</v>
      </c>
      <c r="D9" s="316" t="s">
        <v>49</v>
      </c>
      <c r="E9" s="316" t="str">
        <f>tabIdiomas[[#This Row],[Cadena]]</f>
        <v>Provincia ou Rexión</v>
      </c>
    </row>
    <row r="10" spans="1:5" x14ac:dyDescent="0.3">
      <c r="A10" s="316" t="s">
        <v>50</v>
      </c>
      <c r="B10" s="316" t="s">
        <v>51</v>
      </c>
      <c r="C10" s="316" t="s">
        <v>52</v>
      </c>
      <c r="D10" s="316" t="s">
        <v>50</v>
      </c>
      <c r="E10" s="316" t="str">
        <f>tabIdiomas[[#This Row],[Cadena]]</f>
        <v>Provincia</v>
      </c>
    </row>
    <row r="11" spans="1:5" x14ac:dyDescent="0.3">
      <c r="A11" s="316" t="s">
        <v>53</v>
      </c>
      <c r="B11" s="316" t="s">
        <v>54</v>
      </c>
      <c r="C11" s="316" t="s">
        <v>55</v>
      </c>
      <c r="D11" s="316" t="s">
        <v>56</v>
      </c>
      <c r="E11" s="316" t="str">
        <f>tabIdiomas[[#This Row],[Cadena]]</f>
        <v>Concello ou Termo Municipal</v>
      </c>
    </row>
    <row r="12" spans="1:5" x14ac:dyDescent="0.3">
      <c r="A12" s="316" t="s">
        <v>57</v>
      </c>
      <c r="B12" s="316" t="s">
        <v>33</v>
      </c>
      <c r="C12" s="316" t="s">
        <v>58</v>
      </c>
      <c r="D12" s="316" t="s">
        <v>59</v>
      </c>
      <c r="E12" s="316" t="str">
        <f>tabIdiomas[[#This Row],[Cadena]]</f>
        <v>Emprazamento das Instalacións (Galicia)</v>
      </c>
    </row>
    <row r="13" spans="1:5" x14ac:dyDescent="0.3">
      <c r="A13" s="316" t="s">
        <v>60</v>
      </c>
      <c r="B13" s="316" t="s">
        <v>61</v>
      </c>
      <c r="C13" s="316" t="s">
        <v>62</v>
      </c>
      <c r="D13" s="316" t="s">
        <v>60</v>
      </c>
      <c r="E13" s="316" t="str">
        <f>tabIdiomas[[#This Row],[Cadena]]</f>
        <v>CC.AA.</v>
      </c>
    </row>
    <row r="14" spans="1:5" x14ac:dyDescent="0.3">
      <c r="A14" s="316" t="s">
        <v>63</v>
      </c>
      <c r="B14" s="316" t="s">
        <v>64</v>
      </c>
      <c r="C14" s="316" t="s">
        <v>55</v>
      </c>
      <c r="D14" s="316" t="s">
        <v>65</v>
      </c>
      <c r="E14" s="316" t="str">
        <f>tabIdiomas[[#This Row],[Cadena]]</f>
        <v>Concello</v>
      </c>
    </row>
    <row r="15" spans="1:5" x14ac:dyDescent="0.3">
      <c r="A15" s="316" t="s">
        <v>66</v>
      </c>
      <c r="B15" s="316" t="s">
        <v>67</v>
      </c>
      <c r="C15" s="316" t="s">
        <v>68</v>
      </c>
      <c r="D15" s="316" t="s">
        <v>66</v>
      </c>
      <c r="E15" s="316" t="str">
        <f>tabIdiomas[[#This Row],[Cadena]]</f>
        <v>Parroquia</v>
      </c>
    </row>
    <row r="16" spans="1:5" x14ac:dyDescent="0.3">
      <c r="A16" s="316" t="s">
        <v>69</v>
      </c>
      <c r="B16" s="316" t="s">
        <v>69</v>
      </c>
      <c r="C16" s="316" t="s">
        <v>69</v>
      </c>
      <c r="D16" s="316" t="s">
        <v>69</v>
      </c>
      <c r="E16" s="316" t="str">
        <f>tabIdiomas[[#This Row],[Cadena]]</f>
        <v>A Coruña</v>
      </c>
    </row>
    <row r="17" spans="1:5" x14ac:dyDescent="0.3">
      <c r="A17" s="316" t="s">
        <v>70</v>
      </c>
      <c r="B17" s="316" t="s">
        <v>70</v>
      </c>
      <c r="C17" s="316" t="s">
        <v>70</v>
      </c>
      <c r="D17" s="316" t="s">
        <v>70</v>
      </c>
      <c r="E17" s="316" t="str">
        <f>tabIdiomas[[#This Row],[Cadena]]</f>
        <v>Lugo</v>
      </c>
    </row>
    <row r="18" spans="1:5" x14ac:dyDescent="0.3">
      <c r="A18" s="316" t="s">
        <v>71</v>
      </c>
      <c r="B18" s="316" t="s">
        <v>71</v>
      </c>
      <c r="C18" s="316" t="s">
        <v>71</v>
      </c>
      <c r="D18" s="316" t="s">
        <v>71</v>
      </c>
      <c r="E18" s="316" t="str">
        <f>tabIdiomas[[#This Row],[Cadena]]</f>
        <v>Ourense</v>
      </c>
    </row>
    <row r="19" spans="1:5" x14ac:dyDescent="0.3">
      <c r="A19" s="316" t="s">
        <v>3</v>
      </c>
      <c r="B19" s="316" t="s">
        <v>3</v>
      </c>
      <c r="C19" s="316" t="s">
        <v>3</v>
      </c>
      <c r="D19" s="316" t="s">
        <v>3</v>
      </c>
      <c r="E19" s="316" t="str">
        <f>tabIdiomas[[#This Row],[Cadena]]</f>
        <v>Pontevedra</v>
      </c>
    </row>
    <row r="20" spans="1:5" ht="28.8" x14ac:dyDescent="0.3">
      <c r="A20" s="316" t="s">
        <v>72</v>
      </c>
      <c r="B20" s="316" t="s">
        <v>73</v>
      </c>
      <c r="C20" s="316" t="s">
        <v>74</v>
      </c>
      <c r="D20" s="316" t="s">
        <v>75</v>
      </c>
      <c r="E20" s="316" t="str">
        <f>tabIdiomas[[#This Row],[Cadena]]</f>
        <v>Dispoñibilidade de Terreos para Emprazar as Instalacións</v>
      </c>
    </row>
    <row r="21" spans="1:5" x14ac:dyDescent="0.3">
      <c r="A21" s="316" t="s">
        <v>76</v>
      </c>
      <c r="B21" s="316" t="s">
        <v>77</v>
      </c>
      <c r="C21" s="316" t="s">
        <v>78</v>
      </c>
      <c r="D21" s="316" t="s">
        <v>79</v>
      </c>
      <c r="E21" s="316" t="str">
        <f>tabIdiomas[[#This Row],[Cadena]]</f>
        <v>Superficie de Terreo Dispoñible (m2)</v>
      </c>
    </row>
    <row r="22" spans="1:5" ht="28.8" x14ac:dyDescent="0.3">
      <c r="A22" s="316" t="s">
        <v>80</v>
      </c>
      <c r="B22" s="316" t="s">
        <v>81</v>
      </c>
      <c r="C22" s="316" t="s">
        <v>82</v>
      </c>
      <c r="D22" s="316" t="s">
        <v>83</v>
      </c>
      <c r="E22" s="316" t="str">
        <f>tabIdiomas[[#This Row],[Cadena]]</f>
        <v>Superficie Precisa para Corredores (m2)</v>
      </c>
    </row>
    <row r="23" spans="1:5" x14ac:dyDescent="0.3">
      <c r="A23" s="316" t="s">
        <v>84</v>
      </c>
      <c r="B23" s="316" t="s">
        <v>85</v>
      </c>
      <c r="C23" s="316" t="s">
        <v>86</v>
      </c>
      <c r="D23" s="316" t="s">
        <v>87</v>
      </c>
      <c r="E23" s="316" t="str">
        <f>tabIdiomas[[#This Row],[Cadena]]</f>
        <v>Prazo da Instalación (Anos)</v>
      </c>
    </row>
    <row r="24" spans="1:5" ht="28.8" x14ac:dyDescent="0.3">
      <c r="A24" s="316" t="s">
        <v>88</v>
      </c>
      <c r="B24" s="316" t="s">
        <v>89</v>
      </c>
      <c r="C24" s="316" t="s">
        <v>90</v>
      </c>
      <c r="D24" s="316" t="s">
        <v>91</v>
      </c>
      <c r="E24" s="316" t="str">
        <f>tabIdiomas[[#This Row],[Cadena]]</f>
        <v>IVE - Venda de Mercaderías, Gastos e Investimentos (%)</v>
      </c>
    </row>
    <row r="25" spans="1:5" x14ac:dyDescent="0.3">
      <c r="A25" s="316" t="s">
        <v>92</v>
      </c>
      <c r="B25" s="316" t="s">
        <v>93</v>
      </c>
      <c r="C25" s="316" t="s">
        <v>94</v>
      </c>
      <c r="D25" s="316" t="s">
        <v>95</v>
      </c>
      <c r="E25" s="316" t="str">
        <f>tabIdiomas[[#This Row],[Cadena]]</f>
        <v>IVE - Período de Liquidación (Meses)</v>
      </c>
    </row>
    <row r="26" spans="1:5" x14ac:dyDescent="0.3">
      <c r="A26" s="316" t="s">
        <v>96</v>
      </c>
      <c r="B26" s="316" t="s">
        <v>97</v>
      </c>
      <c r="C26" s="316" t="s">
        <v>98</v>
      </c>
      <c r="D26" s="316" t="s">
        <v>96</v>
      </c>
      <c r="E26" s="316" t="str">
        <f>tabIdiomas[[#This Row],[Cadena]]</f>
        <v>Tipo Impositivo IS (%)</v>
      </c>
    </row>
    <row r="27" spans="1:5" ht="28.8" x14ac:dyDescent="0.3">
      <c r="A27" s="316" t="s">
        <v>99</v>
      </c>
      <c r="B27" s="316" t="s">
        <v>100</v>
      </c>
      <c r="C27" s="316" t="s">
        <v>101</v>
      </c>
      <c r="D27" s="316" t="s">
        <v>102</v>
      </c>
      <c r="E27" s="316" t="str">
        <f>tabIdiomas[[#This Row],[Cadena]]</f>
        <v>Necesidade de Prestación de Garantía á Administración (Si / Non)</v>
      </c>
    </row>
    <row r="28" spans="1:5" x14ac:dyDescent="0.3">
      <c r="A28" s="316" t="s">
        <v>103</v>
      </c>
      <c r="B28" s="316" t="s">
        <v>104</v>
      </c>
      <c r="C28" s="316" t="s">
        <v>7</v>
      </c>
      <c r="D28" s="316" t="s">
        <v>105</v>
      </c>
      <c r="E28" s="316" t="str">
        <f>tabIdiomas[[#This Row],[Cadena]]</f>
        <v>Si</v>
      </c>
    </row>
    <row r="29" spans="1:5" x14ac:dyDescent="0.3">
      <c r="A29" s="316" t="s">
        <v>12</v>
      </c>
      <c r="B29" s="316" t="s">
        <v>106</v>
      </c>
      <c r="C29" s="316" t="s">
        <v>5</v>
      </c>
      <c r="D29" s="316" t="s">
        <v>5</v>
      </c>
      <c r="E29" s="316" t="str">
        <f>tabIdiomas[[#This Row],[Cadena]]</f>
        <v>Non</v>
      </c>
    </row>
    <row r="30" spans="1:5" x14ac:dyDescent="0.3">
      <c r="A30" s="316" t="s">
        <v>107</v>
      </c>
      <c r="B30" s="316" t="s">
        <v>108</v>
      </c>
      <c r="C30" s="316" t="s">
        <v>109</v>
      </c>
      <c r="D30" s="316" t="s">
        <v>110</v>
      </c>
      <c r="E30" s="316" t="str">
        <f>tabIdiomas[[#This Row],[Cadena]]</f>
        <v>Remuneración Caixa (%)</v>
      </c>
    </row>
    <row r="31" spans="1:5" x14ac:dyDescent="0.3">
      <c r="A31" s="316" t="s">
        <v>111</v>
      </c>
      <c r="B31" s="316" t="s">
        <v>112</v>
      </c>
      <c r="C31" s="316" t="s">
        <v>113</v>
      </c>
      <c r="D31" s="316" t="s">
        <v>114</v>
      </c>
      <c r="E31" s="316" t="str">
        <f>tabIdiomas[[#This Row],[Cadena]]</f>
        <v>Financiamento do Proxecto</v>
      </c>
    </row>
    <row r="32" spans="1:5" ht="28.8" x14ac:dyDescent="0.3">
      <c r="A32" s="316" t="s">
        <v>115</v>
      </c>
      <c r="B32" s="316" t="s">
        <v>116</v>
      </c>
      <c r="C32" s="316" t="s">
        <v>117</v>
      </c>
      <c r="D32" s="316" t="s">
        <v>118</v>
      </c>
      <c r="E32" s="316" t="str">
        <f>tabIdiomas[[#This Row],[Cadena]]</f>
        <v>% Financiamento Alleo do investimento (Débeda)</v>
      </c>
    </row>
    <row r="33" spans="1:5" x14ac:dyDescent="0.3">
      <c r="A33" s="316" t="s">
        <v>119</v>
      </c>
      <c r="B33" s="316" t="s">
        <v>120</v>
      </c>
      <c r="C33" s="316" t="s">
        <v>121</v>
      </c>
      <c r="D33" s="316" t="s">
        <v>122</v>
      </c>
      <c r="E33" s="316" t="str">
        <f>tabIdiomas[[#This Row],[Cadena]]</f>
        <v>Prazo (Anos)</v>
      </c>
    </row>
    <row r="34" spans="1:5" ht="28.8" x14ac:dyDescent="0.3">
      <c r="A34" s="316" t="s">
        <v>123</v>
      </c>
      <c r="B34" s="316" t="s">
        <v>124</v>
      </c>
      <c r="C34" s="316" t="s">
        <v>125</v>
      </c>
      <c r="D34" s="316" t="s">
        <v>126</v>
      </c>
      <c r="E34" s="316" t="str">
        <f>tabIdiomas[[#This Row],[Cadena]]</f>
        <v>Período de Carencia de Capital (Anos)</v>
      </c>
    </row>
    <row r="35" spans="1:5" ht="28.8" x14ac:dyDescent="0.3">
      <c r="A35" s="316" t="s">
        <v>127</v>
      </c>
      <c r="B35" s="316" t="s">
        <v>128</v>
      </c>
      <c r="C35" s="316" t="s">
        <v>129</v>
      </c>
      <c r="D35" s="316" t="s">
        <v>130</v>
      </c>
      <c r="E35" s="316" t="str">
        <f>tabIdiomas[[#This Row],[Cadena]]</f>
        <v>Periodo de Carencia de Xuros (Anos)</v>
      </c>
    </row>
    <row r="36" spans="1:5" x14ac:dyDescent="0.3">
      <c r="A36" s="316" t="s">
        <v>131</v>
      </c>
      <c r="B36" s="316" t="s">
        <v>132</v>
      </c>
      <c r="C36" s="316" t="s">
        <v>133</v>
      </c>
      <c r="D36" s="316" t="s">
        <v>134</v>
      </c>
      <c r="E36" s="316" t="str">
        <f>tabIdiomas[[#This Row],[Cadena]]</f>
        <v>Número de Meses a Considerar no Primeiro Ano</v>
      </c>
    </row>
    <row r="37" spans="1:5" ht="28.8" x14ac:dyDescent="0.3">
      <c r="A37" s="316" t="s">
        <v>135</v>
      </c>
      <c r="B37" s="316" t="s">
        <v>136</v>
      </c>
      <c r="C37" s="316" t="s">
        <v>137</v>
      </c>
      <c r="D37" s="316" t="s">
        <v>135</v>
      </c>
      <c r="E37" s="316" t="str">
        <f>tabIdiomas[[#This Row],[Cadena]]</f>
        <v>Euribor (%)</v>
      </c>
    </row>
    <row r="38" spans="1:5" x14ac:dyDescent="0.3">
      <c r="A38" s="316" t="s">
        <v>138</v>
      </c>
      <c r="B38" s="316" t="s">
        <v>139</v>
      </c>
      <c r="C38" s="316" t="s">
        <v>140</v>
      </c>
      <c r="D38" s="316" t="s">
        <v>141</v>
      </c>
      <c r="E38" s="316" t="str">
        <f>tabIdiomas[[#This Row],[Cadena]]</f>
        <v>Marxe sobre Euribor (%)</v>
      </c>
    </row>
    <row r="39" spans="1:5" x14ac:dyDescent="0.3">
      <c r="A39" s="316" t="s">
        <v>142</v>
      </c>
      <c r="B39" s="316" t="s">
        <v>143</v>
      </c>
      <c r="C39" s="316" t="s">
        <v>144</v>
      </c>
      <c r="D39" s="316" t="s">
        <v>142</v>
      </c>
      <c r="E39" s="316" t="str">
        <f>tabIdiomas[[#This Row],[Cadena]]</f>
        <v>Comisión de Apertura (%)</v>
      </c>
    </row>
    <row r="40" spans="1:5" ht="28.8" x14ac:dyDescent="0.3">
      <c r="A40" s="316" t="s">
        <v>145</v>
      </c>
      <c r="B40" s="316" t="s">
        <v>146</v>
      </c>
      <c r="C40" s="316" t="s">
        <v>147</v>
      </c>
      <c r="D40" s="316" t="s">
        <v>148</v>
      </c>
      <c r="E40" s="316" t="str">
        <f>tabIdiomas[[#This Row],[Cadena]]</f>
        <v>Desglose do Investimento: Instalacións e Gastos de Constitución</v>
      </c>
    </row>
    <row r="41" spans="1:5" ht="28.8" x14ac:dyDescent="0.3">
      <c r="A41" s="316" t="s">
        <v>149</v>
      </c>
      <c r="B41" s="316" t="s">
        <v>150</v>
      </c>
      <c r="C41" s="316" t="s">
        <v>151</v>
      </c>
      <c r="D41" s="316" t="s">
        <v>152</v>
      </c>
      <c r="E41" s="316" t="str">
        <f>tabIdiomas[[#This Row],[Cadena]]</f>
        <v>Ratio de Investimento s/ Potencia Instalada (€/kW)</v>
      </c>
    </row>
    <row r="42" spans="1:5" ht="28.8" x14ac:dyDescent="0.3">
      <c r="A42" s="316" t="s">
        <v>153</v>
      </c>
      <c r="B42" s="316" t="s">
        <v>154</v>
      </c>
      <c r="C42" s="316" t="s">
        <v>155</v>
      </c>
      <c r="D42" s="316" t="s">
        <v>156</v>
      </c>
      <c r="E42" s="316" t="str">
        <f>tabIdiomas[[#This Row],[Cadena]]</f>
        <v>Necesidade de Novo CUPS, Propio (Si/Non)</v>
      </c>
    </row>
    <row r="43" spans="1:5" ht="28.8" x14ac:dyDescent="0.3">
      <c r="A43" s="316" t="s">
        <v>157</v>
      </c>
      <c r="B43" s="316" t="s">
        <v>158</v>
      </c>
      <c r="C43" s="316" t="s">
        <v>159</v>
      </c>
      <c r="D43" s="316" t="s">
        <v>160</v>
      </c>
      <c r="E43" s="316" t="str">
        <f>tabIdiomas[[#This Row],[Cadena]]</f>
        <v>Custo de Investimento Vinculado á Obtención do Novo CUPS (€)</v>
      </c>
    </row>
    <row r="44" spans="1:5" ht="28.8" x14ac:dyDescent="0.3">
      <c r="A44" s="316" t="s">
        <v>161</v>
      </c>
      <c r="B44" s="316" t="s">
        <v>162</v>
      </c>
      <c r="C44" s="316" t="s">
        <v>163</v>
      </c>
      <c r="D44" s="316" t="s">
        <v>164</v>
      </c>
      <c r="E44" s="316" t="str">
        <f>tabIdiomas[[#This Row],[Cadena]]</f>
        <v>Gastos de Constitución (Importe Fixo ou Proporcional ao Investimento)</v>
      </c>
    </row>
    <row r="45" spans="1:5" x14ac:dyDescent="0.3">
      <c r="A45" s="316" t="s">
        <v>165</v>
      </c>
      <c r="B45" s="316" t="s">
        <v>166</v>
      </c>
      <c r="C45" s="316" t="s">
        <v>6</v>
      </c>
      <c r="D45" s="316" t="s">
        <v>167</v>
      </c>
      <c r="E45" s="316" t="str">
        <f>tabIdiomas[[#This Row],[Cadena]]</f>
        <v>Fixo</v>
      </c>
    </row>
    <row r="46" spans="1:5" x14ac:dyDescent="0.3">
      <c r="A46" s="316" t="s">
        <v>168</v>
      </c>
      <c r="B46" s="316" t="s">
        <v>169</v>
      </c>
      <c r="C46" s="316" t="s">
        <v>170</v>
      </c>
      <c r="D46" s="316" t="s">
        <v>168</v>
      </c>
      <c r="E46" s="316" t="str">
        <f>tabIdiomas[[#This Row],[Cadena]]</f>
        <v>Proporcional</v>
      </c>
    </row>
    <row r="47" spans="1:5" ht="28.8" x14ac:dyDescent="0.3">
      <c r="A47" s="316" t="s">
        <v>171</v>
      </c>
      <c r="B47" s="316" t="s">
        <v>172</v>
      </c>
      <c r="C47" s="316" t="s">
        <v>173</v>
      </c>
      <c r="D47" s="316" t="s">
        <v>174</v>
      </c>
      <c r="E47" s="316" t="str">
        <f>tabIdiomas[[#This Row],[Cadena]]</f>
        <v>Gastos de Constitución (Importe Proporcional, % s/Investimento Inicial, se Aplicable)</v>
      </c>
    </row>
    <row r="48" spans="1:5" ht="28.8" x14ac:dyDescent="0.3">
      <c r="A48" s="316" t="s">
        <v>175</v>
      </c>
      <c r="B48" s="316" t="s">
        <v>176</v>
      </c>
      <c r="C48" s="316" t="s">
        <v>177</v>
      </c>
      <c r="D48" s="316" t="s">
        <v>178</v>
      </c>
      <c r="E48" s="316" t="str">
        <f>tabIdiomas[[#This Row],[Cadena]]</f>
        <v>Gastos de Constitución (Importe Fixo, se Aplicable) (€)</v>
      </c>
    </row>
    <row r="49" spans="1:5" x14ac:dyDescent="0.3">
      <c r="A49" s="316" t="s">
        <v>179</v>
      </c>
      <c r="B49" s="316" t="s">
        <v>657</v>
      </c>
      <c r="C49" s="316" t="s">
        <v>656</v>
      </c>
      <c r="D49" s="316" t="s">
        <v>181</v>
      </c>
      <c r="E49" s="316" t="str">
        <f>tabIdiomas[[#This Row],[Cadena]]</f>
        <v>GASTOS: Compras de Materiais e Servizos</v>
      </c>
    </row>
    <row r="50" spans="1:5" x14ac:dyDescent="0.3">
      <c r="A50" s="316" t="s">
        <v>182</v>
      </c>
      <c r="B50" s="316" t="s">
        <v>183</v>
      </c>
      <c r="C50" s="316" t="s">
        <v>11</v>
      </c>
      <c r="D50" s="316" t="s">
        <v>182</v>
      </c>
      <c r="E50" s="316" t="str">
        <f>tabIdiomas[[#This Row],[Cadena]]</f>
        <v>Auto-explotación</v>
      </c>
    </row>
    <row r="51" spans="1:5" x14ac:dyDescent="0.3">
      <c r="A51" s="316" t="s">
        <v>184</v>
      </c>
      <c r="B51" s="316" t="s">
        <v>185</v>
      </c>
      <c r="C51" s="316" t="s">
        <v>186</v>
      </c>
      <c r="D51" s="316" t="s">
        <v>187</v>
      </c>
      <c r="E51" s="316" t="str">
        <f>tabIdiomas[[#This Row],[Cadena]]</f>
        <v>Persoal Propio</v>
      </c>
    </row>
    <row r="52" spans="1:5" x14ac:dyDescent="0.3">
      <c r="A52" s="316" t="s">
        <v>188</v>
      </c>
      <c r="B52" s="316" t="s">
        <v>189</v>
      </c>
      <c r="C52" s="316" t="s">
        <v>190</v>
      </c>
      <c r="D52" s="316" t="s">
        <v>188</v>
      </c>
      <c r="E52" s="316" t="str">
        <f>tabIdiomas[[#This Row],[Cadena]]</f>
        <v>Subcontratación</v>
      </c>
    </row>
    <row r="53" spans="1:5" x14ac:dyDescent="0.3">
      <c r="A53" s="316" t="s">
        <v>191</v>
      </c>
      <c r="B53" s="316" t="s">
        <v>668</v>
      </c>
      <c r="C53" s="316" t="s">
        <v>192</v>
      </c>
      <c r="D53" s="316" t="s">
        <v>193</v>
      </c>
      <c r="E53" s="316" t="str">
        <f>tabIdiomas[[#This Row],[Cadena]]</f>
        <v>Compras de Materiais e Servizos (Si/Non)</v>
      </c>
    </row>
    <row r="54" spans="1:5" x14ac:dyDescent="0.3">
      <c r="A54" s="316" t="s">
        <v>194</v>
      </c>
      <c r="B54" s="316" t="s">
        <v>671</v>
      </c>
      <c r="C54" s="316" t="s">
        <v>195</v>
      </c>
      <c r="D54" s="316" t="s">
        <v>196</v>
      </c>
      <c r="E54" s="316" t="str">
        <f>tabIdiomas[[#This Row],[Cadena]]</f>
        <v>Realización das Labores de Xestión</v>
      </c>
    </row>
    <row r="55" spans="1:5" x14ac:dyDescent="0.3">
      <c r="A55" s="316" t="s">
        <v>197</v>
      </c>
      <c r="B55" s="316" t="s">
        <v>658</v>
      </c>
      <c r="C55" s="316" t="s">
        <v>198</v>
      </c>
      <c r="D55" s="316" t="s">
        <v>197</v>
      </c>
      <c r="E55" s="316" t="str">
        <f>tabIdiomas[[#This Row],[Cadena]]</f>
        <v>Unidades</v>
      </c>
    </row>
    <row r="56" spans="1:5" x14ac:dyDescent="0.3">
      <c r="A56" s="317" t="s">
        <v>199</v>
      </c>
      <c r="B56" s="316" t="s">
        <v>659</v>
      </c>
      <c r="C56" s="316" t="s">
        <v>660</v>
      </c>
      <c r="D56" s="317" t="s">
        <v>661</v>
      </c>
      <c r="E56" s="316" t="s">
        <v>661</v>
      </c>
    </row>
    <row r="57" spans="1:5" ht="28.8" x14ac:dyDescent="0.3">
      <c r="A57" s="316" t="s">
        <v>200</v>
      </c>
      <c r="B57" s="316" t="s">
        <v>201</v>
      </c>
      <c r="C57" s="316" t="s">
        <v>202</v>
      </c>
      <c r="D57" s="316" t="s">
        <v>203</v>
      </c>
      <c r="E57" s="316" t="str">
        <f>tabIdiomas[[#This Row],[Cadena]]</f>
        <v>Desglose do Investimento: Datos Relativos ao Inversor</v>
      </c>
    </row>
    <row r="58" spans="1:5" ht="28.8" x14ac:dyDescent="0.3">
      <c r="A58" s="316" t="s">
        <v>204</v>
      </c>
      <c r="B58" s="316" t="s">
        <v>205</v>
      </c>
      <c r="C58" s="316" t="s">
        <v>206</v>
      </c>
      <c r="D58" s="316" t="s">
        <v>207</v>
      </c>
      <c r="E58" s="316" t="str">
        <f>tabIdiomas[[#This Row],[Cadena]]</f>
        <v>Investimento Inversor (% s/ Invest. Inicial en Instalacións)</v>
      </c>
    </row>
    <row r="59" spans="1:5" ht="28.8" x14ac:dyDescent="0.3">
      <c r="A59" s="316" t="s">
        <v>208</v>
      </c>
      <c r="B59" s="316" t="s">
        <v>209</v>
      </c>
      <c r="C59" s="316" t="s">
        <v>210</v>
      </c>
      <c r="D59" s="316" t="s">
        <v>211</v>
      </c>
      <c r="E59" s="316" t="str">
        <f>tabIdiomas[[#This Row],[Cadena]]</f>
        <v>Prazo Invest. Inversor (Vida Útil Estimada)</v>
      </c>
    </row>
    <row r="60" spans="1:5" x14ac:dyDescent="0.3">
      <c r="A60" s="317" t="s">
        <v>212</v>
      </c>
      <c r="B60" s="316" t="s">
        <v>662</v>
      </c>
      <c r="C60" s="316" t="s">
        <v>213</v>
      </c>
      <c r="D60" s="316" t="s">
        <v>214</v>
      </c>
      <c r="E60" s="316" t="str">
        <f>tabIdiomas[[#This Row],[Cadena]]</f>
        <v>Compras de Outros Aprovisionamentos</v>
      </c>
    </row>
    <row r="61" spans="1:5" ht="28.8" x14ac:dyDescent="0.3">
      <c r="A61" s="316" t="s">
        <v>215</v>
      </c>
      <c r="B61" s="316" t="s">
        <v>663</v>
      </c>
      <c r="C61" s="316" t="s">
        <v>216</v>
      </c>
      <c r="D61" s="316" t="s">
        <v>217</v>
      </c>
      <c r="E61" s="316" t="str">
        <f>tabIdiomas[[#This Row],[Cadena]]</f>
        <v>Compras de Elementos e Conxuntos Incorporables</v>
      </c>
    </row>
    <row r="62" spans="1:5" x14ac:dyDescent="0.3">
      <c r="A62" s="316" t="s">
        <v>218</v>
      </c>
      <c r="B62" s="316" t="s">
        <v>219</v>
      </c>
      <c r="C62" s="316" t="s">
        <v>220</v>
      </c>
      <c r="D62" s="316" t="s">
        <v>218</v>
      </c>
      <c r="E62" s="316" t="str">
        <f>tabIdiomas[[#This Row],[Cadena]]</f>
        <v>Subvención Pública</v>
      </c>
    </row>
    <row r="63" spans="1:5" x14ac:dyDescent="0.3">
      <c r="A63" s="316" t="s">
        <v>221</v>
      </c>
      <c r="B63" s="316" t="s">
        <v>222</v>
      </c>
      <c r="C63" s="316" t="s">
        <v>223</v>
      </c>
      <c r="D63" s="316" t="s">
        <v>224</v>
      </c>
      <c r="E63" s="316" t="str">
        <f>tabIdiomas[[#This Row],[Cadena]]</f>
        <v>Subvención Pública (Si / Non)</v>
      </c>
    </row>
    <row r="64" spans="1:5" ht="28.8" x14ac:dyDescent="0.3">
      <c r="A64" s="316" t="s">
        <v>225</v>
      </c>
      <c r="B64" s="316" t="s">
        <v>226</v>
      </c>
      <c r="C64" s="316" t="s">
        <v>227</v>
      </c>
      <c r="D64" s="316" t="s">
        <v>228</v>
      </c>
      <c r="E64" s="316" t="str">
        <f>tabIdiomas[[#This Row],[Cadena]]</f>
        <v>Ratio de Subvención (Subv. -%- s/  -Invest. Inicial en Instalac.)</v>
      </c>
    </row>
    <row r="65" spans="1:5" x14ac:dyDescent="0.3">
      <c r="A65" s="316" t="s">
        <v>229</v>
      </c>
      <c r="B65" s="316" t="s">
        <v>230</v>
      </c>
      <c r="C65" s="316" t="s">
        <v>231</v>
      </c>
      <c r="D65" s="316" t="s">
        <v>232</v>
      </c>
      <c r="E65" s="316" t="str">
        <f>tabIdiomas[[#This Row],[Cadena]]</f>
        <v>Composición da Base de Socios</v>
      </c>
    </row>
    <row r="66" spans="1:5" x14ac:dyDescent="0.3">
      <c r="A66" s="316" t="s">
        <v>233</v>
      </c>
      <c r="B66" s="316" t="s">
        <v>234</v>
      </c>
      <c r="C66" s="316" t="s">
        <v>235</v>
      </c>
      <c r="D66" s="316" t="s">
        <v>233</v>
      </c>
      <c r="E66" s="316" t="str">
        <f>tabIdiomas[[#This Row],[Cadena]]</f>
        <v>% S/Total de Socios</v>
      </c>
    </row>
    <row r="67" spans="1:5" x14ac:dyDescent="0.3">
      <c r="A67" s="316" t="s">
        <v>236</v>
      </c>
      <c r="B67" s="316" t="s">
        <v>237</v>
      </c>
      <c r="C67" s="316" t="s">
        <v>238</v>
      </c>
      <c r="D67" s="316" t="s">
        <v>236</v>
      </c>
      <c r="E67" s="316" t="str">
        <f>tabIdiomas[[#This Row],[Cadena]]</f>
        <v>Proporción de Socios Segmento Residencial</v>
      </c>
    </row>
    <row r="68" spans="1:5" x14ac:dyDescent="0.3">
      <c r="A68" s="316" t="s">
        <v>239</v>
      </c>
      <c r="B68" s="316" t="s">
        <v>240</v>
      </c>
      <c r="C68" s="316" t="s">
        <v>241</v>
      </c>
      <c r="D68" s="316" t="s">
        <v>242</v>
      </c>
      <c r="E68" s="316" t="str">
        <f>tabIdiomas[[#This Row],[Cadena]]</f>
        <v>Cotas de Socios e Outros Ingresos Mensuais</v>
      </c>
    </row>
    <row r="69" spans="1:5" x14ac:dyDescent="0.3">
      <c r="A69" s="316" t="s">
        <v>243</v>
      </c>
      <c r="B69" s="316" t="s">
        <v>244</v>
      </c>
      <c r="C69" s="316" t="s">
        <v>245</v>
      </c>
      <c r="D69" s="316" t="s">
        <v>246</v>
      </c>
      <c r="E69" s="316" t="str">
        <f>tabIdiomas[[#This Row],[Cadena]]</f>
        <v>Cota Extraord. Primeiro Ano (€/Mes)</v>
      </c>
    </row>
    <row r="70" spans="1:5" x14ac:dyDescent="0.3">
      <c r="A70" s="316" t="s">
        <v>247</v>
      </c>
      <c r="B70" s="316" t="s">
        <v>248</v>
      </c>
      <c r="C70" s="316" t="s">
        <v>249</v>
      </c>
      <c r="D70" s="316" t="s">
        <v>250</v>
      </c>
      <c r="E70" s="316" t="str">
        <f>tabIdiomas[[#This Row],[Cadena]]</f>
        <v>Outros Ingresos Mensuais (€/Mes)</v>
      </c>
    </row>
    <row r="71" spans="1:5" ht="28.8" x14ac:dyDescent="0.3">
      <c r="A71" s="316" t="s">
        <v>251</v>
      </c>
      <c r="B71" s="316" t="s">
        <v>252</v>
      </c>
      <c r="C71" s="316" t="s">
        <v>253</v>
      </c>
      <c r="D71" s="316" t="s">
        <v>254</v>
      </c>
      <c r="E71" s="316" t="str">
        <f>tabIdiomas[[#This Row],[Cadena]]</f>
        <v>Impacto Fiscal Trasladado a Cotas de Socios (Si/Non)</v>
      </c>
    </row>
    <row r="72" spans="1:5" x14ac:dyDescent="0.3">
      <c r="A72" s="317" t="s">
        <v>255</v>
      </c>
      <c r="B72" s="316" t="s">
        <v>664</v>
      </c>
      <c r="C72" s="316" t="s">
        <v>256</v>
      </c>
      <c r="D72" s="316" t="s">
        <v>255</v>
      </c>
      <c r="E72" s="316" t="str">
        <f>tabIdiomas[[#This Row],[Cadena]]</f>
        <v>Compras de Combustibles</v>
      </c>
    </row>
    <row r="73" spans="1:5" x14ac:dyDescent="0.3">
      <c r="A73" s="317" t="s">
        <v>257</v>
      </c>
      <c r="B73" s="316" t="s">
        <v>665</v>
      </c>
      <c r="C73" s="316" t="s">
        <v>258</v>
      </c>
      <c r="D73" s="316" t="s">
        <v>259</v>
      </c>
      <c r="E73" s="316" t="str">
        <f>tabIdiomas[[#This Row],[Cadena]]</f>
        <v>Compras de Repostos</v>
      </c>
    </row>
    <row r="74" spans="1:5" x14ac:dyDescent="0.3">
      <c r="A74" s="317" t="s">
        <v>260</v>
      </c>
      <c r="B74" s="316" t="s">
        <v>261</v>
      </c>
      <c r="C74" s="316" t="s">
        <v>262</v>
      </c>
      <c r="D74" s="316" t="s">
        <v>263</v>
      </c>
      <c r="E74" s="316" t="str">
        <f>tabIdiomas[[#This Row],[Cadena]]</f>
        <v>Compras de Materiais Diversos</v>
      </c>
    </row>
    <row r="75" spans="1:5" ht="28.5" customHeight="1" x14ac:dyDescent="0.3">
      <c r="A75" s="317" t="s">
        <v>264</v>
      </c>
      <c r="B75" s="316" t="s">
        <v>666</v>
      </c>
      <c r="C75" s="316" t="s">
        <v>265</v>
      </c>
      <c r="D75" s="316" t="s">
        <v>264</v>
      </c>
      <c r="E75" s="316" t="str">
        <f>tabIdiomas[[#This Row],[Cadena]]</f>
        <v>Compras de Material de Oficina</v>
      </c>
    </row>
    <row r="76" spans="1:5" x14ac:dyDescent="0.3">
      <c r="A76" s="317" t="s">
        <v>266</v>
      </c>
      <c r="B76" s="316" t="s">
        <v>667</v>
      </c>
      <c r="C76" s="316" t="s">
        <v>267</v>
      </c>
      <c r="D76" s="316" t="s">
        <v>268</v>
      </c>
      <c r="E76" s="316" t="str">
        <f>tabIdiomas[[#This Row],[Cadena]]</f>
        <v>Traballos realizados por Outras Empresas</v>
      </c>
    </row>
    <row r="77" spans="1:5" x14ac:dyDescent="0.3">
      <c r="A77" s="317" t="s">
        <v>269</v>
      </c>
      <c r="B77" s="316" t="s">
        <v>270</v>
      </c>
      <c r="C77" s="316" t="s">
        <v>271</v>
      </c>
      <c r="D77" s="316" t="s">
        <v>272</v>
      </c>
      <c r="E77" s="316" t="str">
        <f>tabIdiomas[[#This Row],[Cadena]]</f>
        <v>Hipóteses Relativas á Enerxía</v>
      </c>
    </row>
    <row r="78" spans="1:5" ht="28.8" x14ac:dyDescent="0.3">
      <c r="A78" s="317" t="s">
        <v>273</v>
      </c>
      <c r="B78" s="316" t="s">
        <v>274</v>
      </c>
      <c r="C78" s="316" t="s">
        <v>275</v>
      </c>
      <c r="D78" s="316" t="s">
        <v>276</v>
      </c>
      <c r="E78" s="316" t="str">
        <f>tabIdiomas[[#This Row],[Cadena]]</f>
        <v>Prezo de Referencia de Mercado da Electricidade (€/MWh)</v>
      </c>
    </row>
    <row r="79" spans="1:5" ht="28.5" customHeight="1" x14ac:dyDescent="0.3">
      <c r="A79" s="317" t="s">
        <v>277</v>
      </c>
      <c r="B79" s="316" t="s">
        <v>278</v>
      </c>
      <c r="C79" s="316" t="s">
        <v>180</v>
      </c>
      <c r="D79" s="316" t="s">
        <v>279</v>
      </c>
      <c r="E79" s="316" t="str">
        <f>tabIdiomas[[#This Row],[Cadena]]</f>
        <v>GASTOS: Gastos de Persoal</v>
      </c>
    </row>
    <row r="80" spans="1:5" ht="28.8" x14ac:dyDescent="0.3">
      <c r="A80" s="317" t="s">
        <v>280</v>
      </c>
      <c r="B80" s="316" t="s">
        <v>651</v>
      </c>
      <c r="C80" s="316" t="s">
        <v>281</v>
      </c>
      <c r="D80" s="316" t="s">
        <v>282</v>
      </c>
      <c r="E80" s="316" t="str">
        <f>tabIdiomas[[#This Row],[Cadena]]</f>
        <v>Número de Empregados a Xornada Completa Equivalentes</v>
      </c>
    </row>
    <row r="81" spans="1:5" ht="28.8" x14ac:dyDescent="0.3">
      <c r="A81" s="317" t="s">
        <v>283</v>
      </c>
      <c r="B81" s="316" t="s">
        <v>652</v>
      </c>
      <c r="C81" s="316" t="s">
        <v>284</v>
      </c>
      <c r="D81" s="316" t="s">
        <v>285</v>
      </c>
      <c r="E81" s="316" t="str">
        <f>tabIdiomas[[#This Row],[Cadena]]</f>
        <v>Seguridade Social a cargo da Empresa</v>
      </c>
    </row>
    <row r="82" spans="1:5" x14ac:dyDescent="0.3">
      <c r="A82" s="317" t="s">
        <v>286</v>
      </c>
      <c r="B82" s="316" t="s">
        <v>653</v>
      </c>
      <c r="C82" s="316" t="s">
        <v>287</v>
      </c>
      <c r="D82" s="316" t="s">
        <v>288</v>
      </c>
      <c r="E82" s="316" t="str">
        <f>tabIdiomas[[#This Row],[Cadena]]</f>
        <v>Outros gastos sociais</v>
      </c>
    </row>
    <row r="83" spans="1:5" ht="28.8" x14ac:dyDescent="0.3">
      <c r="A83" s="317" t="s">
        <v>289</v>
      </c>
      <c r="B83" s="316" t="s">
        <v>290</v>
      </c>
      <c r="C83" s="316" t="s">
        <v>291</v>
      </c>
      <c r="D83" s="316" t="s">
        <v>292</v>
      </c>
      <c r="E83" s="316" t="str">
        <f>tabIdiomas[[#This Row],[Cadena]]</f>
        <v>Prezo Autoconsumo (% sobre Prezo Medio)</v>
      </c>
    </row>
    <row r="84" spans="1:5" ht="28.8" x14ac:dyDescent="0.3">
      <c r="A84" s="317" t="s">
        <v>293</v>
      </c>
      <c r="B84" s="316" t="s">
        <v>294</v>
      </c>
      <c r="C84" s="316" t="s">
        <v>295</v>
      </c>
      <c r="D84" s="316" t="s">
        <v>296</v>
      </c>
      <c r="E84" s="316" t="str">
        <f>tabIdiomas[[#This Row],[Cadena]]</f>
        <v>Prezo Compensación (% sobre Prezo Medio)</v>
      </c>
    </row>
    <row r="85" spans="1:5" x14ac:dyDescent="0.3">
      <c r="A85" s="317" t="s">
        <v>297</v>
      </c>
      <c r="B85" s="316" t="s">
        <v>298</v>
      </c>
      <c r="C85" s="316" t="s">
        <v>299</v>
      </c>
      <c r="D85" s="316" t="s">
        <v>300</v>
      </c>
      <c r="E85" s="316" t="str">
        <f>tabIdiomas[[#This Row],[Cadena]]</f>
        <v>Prezo Venda (% sobre Prezo Medio)</v>
      </c>
    </row>
    <row r="86" spans="1:5" ht="28.8" x14ac:dyDescent="0.3">
      <c r="A86" s="317" t="s">
        <v>301</v>
      </c>
      <c r="B86" s="316" t="s">
        <v>654</v>
      </c>
      <c r="C86" s="316" t="s">
        <v>302</v>
      </c>
      <c r="D86" s="316" t="s">
        <v>303</v>
      </c>
      <c r="E86" s="316" t="str">
        <f>tabIdiomas[[#This Row],[Cadena]]</f>
        <v>Compensación ou Venda da Enerxía</v>
      </c>
    </row>
    <row r="87" spans="1:5" x14ac:dyDescent="0.3">
      <c r="A87" s="317" t="s">
        <v>304</v>
      </c>
      <c r="B87" s="316" t="s">
        <v>655</v>
      </c>
      <c r="C87" s="316" t="s">
        <v>305</v>
      </c>
      <c r="D87" s="316" t="s">
        <v>304</v>
      </c>
      <c r="E87" s="316" t="str">
        <f>tabIdiomas[[#This Row],[Cadena]]</f>
        <v>Compensación</v>
      </c>
    </row>
    <row r="88" spans="1:5" x14ac:dyDescent="0.3">
      <c r="A88" s="317" t="s">
        <v>306</v>
      </c>
      <c r="B88" s="316" t="s">
        <v>307</v>
      </c>
      <c r="C88" s="316" t="s">
        <v>8</v>
      </c>
      <c r="D88" s="316" t="s">
        <v>308</v>
      </c>
      <c r="E88" s="316" t="str">
        <f>tabIdiomas[[#This Row],[Cadena]]</f>
        <v>Venda</v>
      </c>
    </row>
    <row r="89" spans="1:5" ht="28.8" x14ac:dyDescent="0.3">
      <c r="A89" s="317" t="s">
        <v>309</v>
      </c>
      <c r="B89" s="316" t="s">
        <v>310</v>
      </c>
      <c r="C89" s="316" t="s">
        <v>311</v>
      </c>
      <c r="D89" s="316" t="s">
        <v>312</v>
      </c>
      <c r="E89" s="316" t="str">
        <f>tabIdiomas[[#This Row],[Cadena]]</f>
        <v>Porcentaxe Esóxena de Aforro sobre Consumo Total (%)</v>
      </c>
    </row>
    <row r="90" spans="1:5" x14ac:dyDescent="0.3">
      <c r="A90" s="317" t="s">
        <v>313</v>
      </c>
      <c r="B90" s="316" t="s">
        <v>314</v>
      </c>
      <c r="C90" s="316" t="s">
        <v>315</v>
      </c>
      <c r="D90" s="316" t="s">
        <v>316</v>
      </c>
      <c r="E90" s="316" t="str">
        <f>tabIdiomas[[#This Row],[Cadena]]</f>
        <v>Batería Virtual (Si / Non)</v>
      </c>
    </row>
    <row r="91" spans="1:5" ht="57.6" x14ac:dyDescent="0.3">
      <c r="A91" s="317" t="s">
        <v>317</v>
      </c>
      <c r="B91" s="316" t="s">
        <v>318</v>
      </c>
      <c r="C91" s="316" t="s">
        <v>319</v>
      </c>
      <c r="D91" s="316" t="s">
        <v>320</v>
      </c>
      <c r="E91" s="316" t="str">
        <f>tabIdiomas[[#This Row],[Cadena]]</f>
        <v>Proporción da Enerxía Compensada que se Retribuiría Económicamente pola Comercializadora de NON existir Batería Virtual</v>
      </c>
    </row>
    <row r="92" spans="1:5" ht="28.8" x14ac:dyDescent="0.3">
      <c r="A92" s="317" t="s">
        <v>321</v>
      </c>
      <c r="B92" s="316" t="s">
        <v>322</v>
      </c>
      <c r="C92" s="316" t="s">
        <v>323</v>
      </c>
      <c r="D92" s="316" t="s">
        <v>324</v>
      </c>
      <c r="E92" s="316" t="str">
        <f>tabIdiomas[[#This Row],[Cadena]]</f>
        <v>Proporción Autoconsumo s/ Enerxía Xerada (Mix Resid-Empr. Equilibrado)</v>
      </c>
    </row>
    <row r="93" spans="1:5" ht="43.2" x14ac:dyDescent="0.3">
      <c r="A93" s="317" t="s">
        <v>325</v>
      </c>
      <c r="B93" s="316" t="s">
        <v>326</v>
      </c>
      <c r="C93" s="316" t="s">
        <v>327</v>
      </c>
      <c r="D93" s="316" t="s">
        <v>328</v>
      </c>
      <c r="E93" s="316" t="str">
        <f>tabIdiomas[[#This Row],[Cadena]]</f>
        <v>Proporción Autoconsumo s/ Enerxía Xerada (Mix Resid-Empr. Parcialmente Equilibrado)</v>
      </c>
    </row>
    <row r="94" spans="1:5" ht="43.2" x14ac:dyDescent="0.3">
      <c r="A94" s="317" t="s">
        <v>329</v>
      </c>
      <c r="B94" s="316" t="s">
        <v>330</v>
      </c>
      <c r="C94" s="316" t="s">
        <v>331</v>
      </c>
      <c r="D94" s="316" t="s">
        <v>332</v>
      </c>
      <c r="E94" s="316" t="str">
        <f>tabIdiomas[[#This Row],[Cadena]]</f>
        <v>Proporción Autoconsumo s/ Enerxía Xerada (Mix Resid-Empr. Desequilibrado)</v>
      </c>
    </row>
    <row r="95" spans="1:5" ht="30" customHeight="1" x14ac:dyDescent="0.3">
      <c r="A95" s="317" t="s">
        <v>333</v>
      </c>
      <c r="B95" s="316" t="s">
        <v>669</v>
      </c>
      <c r="C95" s="316" t="s">
        <v>334</v>
      </c>
      <c r="D95" s="316" t="s">
        <v>670</v>
      </c>
      <c r="E95" s="316" t="s">
        <v>670</v>
      </c>
    </row>
    <row r="96" spans="1:5" ht="36" customHeight="1" x14ac:dyDescent="0.3">
      <c r="A96" s="317" t="s">
        <v>335</v>
      </c>
      <c r="B96" s="316" t="s">
        <v>672</v>
      </c>
      <c r="C96" s="316" t="s">
        <v>336</v>
      </c>
      <c r="D96" s="316" t="s">
        <v>337</v>
      </c>
      <c r="E96" s="316" t="str">
        <f>tabIdiomas[[#This Row],[Cadena]]</f>
        <v>GASTOS: Gastos en Servizos Exteriores (Excl. Outros Servicios)</v>
      </c>
    </row>
    <row r="97" spans="1:5" ht="36.75" customHeight="1" x14ac:dyDescent="0.3">
      <c r="A97" s="317" t="s">
        <v>338</v>
      </c>
      <c r="B97" s="316" t="s">
        <v>673</v>
      </c>
      <c r="C97" s="316" t="s">
        <v>339</v>
      </c>
      <c r="D97" s="316" t="s">
        <v>340</v>
      </c>
      <c r="E97" s="316" t="str">
        <f>tabIdiomas[[#This Row],[Cadena]]</f>
        <v>Arrendamentos e Cánones (Aluguer terreos)</v>
      </c>
    </row>
    <row r="98" spans="1:5" ht="28.8" x14ac:dyDescent="0.3">
      <c r="A98" s="317" t="s">
        <v>341</v>
      </c>
      <c r="B98" s="316" t="s">
        <v>674</v>
      </c>
      <c r="C98" s="316" t="s">
        <v>342</v>
      </c>
      <c r="D98" s="316" t="s">
        <v>343</v>
      </c>
      <c r="E98" s="316" t="str">
        <f>tabIdiomas[[#This Row],[Cadena]]</f>
        <v>Reparacións e Mantemento das Instalacións</v>
      </c>
    </row>
    <row r="99" spans="1:5" x14ac:dyDescent="0.3">
      <c r="A99" s="317" t="s">
        <v>344</v>
      </c>
      <c r="B99" s="316" t="s">
        <v>675</v>
      </c>
      <c r="C99" s="316" t="s">
        <v>345</v>
      </c>
      <c r="D99" s="316" t="s">
        <v>346</v>
      </c>
      <c r="E99" s="316" t="str">
        <f>tabIdiomas[[#This Row],[Cadena]]</f>
        <v>Reparación das Instalacións</v>
      </c>
    </row>
    <row r="100" spans="1:5" x14ac:dyDescent="0.3">
      <c r="A100" s="317" t="s">
        <v>347</v>
      </c>
      <c r="B100" s="316" t="s">
        <v>676</v>
      </c>
      <c r="C100" s="316" t="s">
        <v>348</v>
      </c>
      <c r="D100" s="316" t="s">
        <v>349</v>
      </c>
      <c r="E100" s="316" t="str">
        <f>tabIdiomas[[#This Row],[Cadena]]</f>
        <v>Mantemento das Instalacións</v>
      </c>
    </row>
    <row r="101" spans="1:5" ht="43.2" x14ac:dyDescent="0.3">
      <c r="A101" s="317" t="s">
        <v>350</v>
      </c>
      <c r="B101" s="316" t="s">
        <v>677</v>
      </c>
      <c r="C101" s="316" t="s">
        <v>351</v>
      </c>
      <c r="D101" s="316" t="s">
        <v>352</v>
      </c>
      <c r="E101" s="316" t="str">
        <f>tabIdiomas[[#This Row],[Cadena]]</f>
        <v>Servicios de Profesionais Indep. (Notarios, Avogados, Rexistradores, Economistas, Asesores, etc.)</v>
      </c>
    </row>
    <row r="102" spans="1:5" x14ac:dyDescent="0.3">
      <c r="A102" s="317" t="s">
        <v>353</v>
      </c>
      <c r="B102" s="316" t="s">
        <v>678</v>
      </c>
      <c r="C102" s="316" t="s">
        <v>354</v>
      </c>
      <c r="D102" s="316" t="s">
        <v>355</v>
      </c>
      <c r="E102" s="316" t="str">
        <f>tabIdiomas[[#This Row],[Cadena]]</f>
        <v>Gastos de Notaría e Rexistro</v>
      </c>
    </row>
    <row r="103" spans="1:5" ht="28.5" customHeight="1" x14ac:dyDescent="0.3">
      <c r="A103" s="317" t="s">
        <v>356</v>
      </c>
      <c r="B103" s="316" t="s">
        <v>680</v>
      </c>
      <c r="C103" s="316" t="s">
        <v>357</v>
      </c>
      <c r="D103" s="316" t="s">
        <v>358</v>
      </c>
      <c r="E103" s="316" t="str">
        <f>tabIdiomas[[#This Row],[Cadena]]</f>
        <v>Gastos de Asesoría Xurídica</v>
      </c>
    </row>
    <row r="104" spans="1:5" ht="34.5" customHeight="1" x14ac:dyDescent="0.3">
      <c r="A104" s="317" t="s">
        <v>359</v>
      </c>
      <c r="B104" s="316" t="s">
        <v>360</v>
      </c>
      <c r="C104" s="316" t="s">
        <v>361</v>
      </c>
      <c r="D104" s="316" t="s">
        <v>362</v>
      </c>
      <c r="E104" s="316" t="str">
        <f>tabIdiomas[[#This Row],[Cadena]]</f>
        <v>Gastos de Asesoramento Económico-Financeiro</v>
      </c>
    </row>
    <row r="105" spans="1:5" x14ac:dyDescent="0.3">
      <c r="A105" s="317" t="s">
        <v>363</v>
      </c>
      <c r="B105" s="316" t="s">
        <v>687</v>
      </c>
      <c r="C105" s="316" t="s">
        <v>364</v>
      </c>
      <c r="D105" s="316" t="s">
        <v>365</v>
      </c>
      <c r="E105" s="316" t="str">
        <f>tabIdiomas[[#This Row],[Cadena]]</f>
        <v>Gastos de Asesoramento Técnico (Enxeñería)</v>
      </c>
    </row>
    <row r="106" spans="1:5" x14ac:dyDescent="0.3">
      <c r="A106" s="317" t="s">
        <v>366</v>
      </c>
      <c r="B106" s="316" t="s">
        <v>367</v>
      </c>
      <c r="C106" s="316" t="s">
        <v>368</v>
      </c>
      <c r="D106" s="316" t="s">
        <v>366</v>
      </c>
      <c r="E106" s="316" t="str">
        <f>tabIdiomas[[#This Row],[Cadena]]</f>
        <v>Fórmula Desindexación</v>
      </c>
    </row>
    <row r="107" spans="1:5" x14ac:dyDescent="0.3">
      <c r="A107" s="317" t="s">
        <v>369</v>
      </c>
      <c r="B107" s="316" t="s">
        <v>370</v>
      </c>
      <c r="C107" s="316" t="s">
        <v>371</v>
      </c>
      <c r="D107" s="316" t="s">
        <v>369</v>
      </c>
      <c r="E107" s="316" t="str">
        <f>tabIdiomas[[#This Row],[Cadena]]</f>
        <v>% Anual</v>
      </c>
    </row>
    <row r="108" spans="1:5" ht="28.8" x14ac:dyDescent="0.3">
      <c r="A108" s="317" t="s">
        <v>372</v>
      </c>
      <c r="B108" s="316" t="s">
        <v>373</v>
      </c>
      <c r="C108" s="316" t="s">
        <v>374</v>
      </c>
      <c r="D108" s="316" t="s">
        <v>375</v>
      </c>
      <c r="E108" s="316" t="str">
        <f>tabIdiomas[[#This Row],[Cadena]]</f>
        <v>Taxa para a Actualización Salarios Sector (= IPC)</v>
      </c>
    </row>
    <row r="109" spans="1:5" ht="28.8" x14ac:dyDescent="0.3">
      <c r="A109" s="317" t="s">
        <v>376</v>
      </c>
      <c r="B109" s="316" t="s">
        <v>377</v>
      </c>
      <c r="C109" s="316" t="s">
        <v>378</v>
      </c>
      <c r="D109" s="316" t="s">
        <v>379</v>
      </c>
      <c r="E109" s="316" t="str">
        <f>tabIdiomas[[#This Row],[Cadena]]</f>
        <v>Taxa para a Actualización do Custo da Enerxía</v>
      </c>
    </row>
    <row r="110" spans="1:5" ht="28.8" x14ac:dyDescent="0.3">
      <c r="A110" s="317" t="s">
        <v>380</v>
      </c>
      <c r="B110" s="316" t="s">
        <v>381</v>
      </c>
      <c r="C110" s="316" t="s">
        <v>382</v>
      </c>
      <c r="D110" s="316" t="s">
        <v>383</v>
      </c>
      <c r="E110" s="316" t="str">
        <f>tabIdiomas[[#This Row],[Cadena]]</f>
        <v>Taxa para a Actualización dos Gastos de Explotación Xerais</v>
      </c>
    </row>
    <row r="111" spans="1:5" ht="28.8" x14ac:dyDescent="0.3">
      <c r="A111" s="317" t="s">
        <v>384</v>
      </c>
      <c r="B111" s="316" t="s">
        <v>385</v>
      </c>
      <c r="C111" s="316" t="s">
        <v>386</v>
      </c>
      <c r="D111" s="316" t="s">
        <v>387</v>
      </c>
      <c r="E111" s="316" t="str">
        <f>tabIdiomas[[#This Row],[Cadena]]</f>
        <v>Taxa para a Actualización de 'Outros Gastos de Explotación'</v>
      </c>
    </row>
    <row r="112" spans="1:5" ht="28.8" x14ac:dyDescent="0.3">
      <c r="A112" s="317" t="s">
        <v>388</v>
      </c>
      <c r="B112" s="316" t="s">
        <v>389</v>
      </c>
      <c r="C112" s="316" t="s">
        <v>390</v>
      </c>
      <c r="D112" s="316" t="s">
        <v>391</v>
      </c>
      <c r="E112" s="316" t="str">
        <f>tabIdiomas[[#This Row],[Cadena]]</f>
        <v>Taxa de Variación do importe máximo das tarifas</v>
      </c>
    </row>
    <row r="113" spans="1:5" x14ac:dyDescent="0.3">
      <c r="A113" s="317" t="s">
        <v>392</v>
      </c>
      <c r="B113" s="316" t="s">
        <v>692</v>
      </c>
      <c r="C113" s="316" t="s">
        <v>393</v>
      </c>
      <c r="D113" s="316" t="s">
        <v>392</v>
      </c>
      <c r="E113" s="316" t="str">
        <f>tabIdiomas[[#This Row],[Cadena]]</f>
        <v>Transportes</v>
      </c>
    </row>
    <row r="114" spans="1:5" ht="28.8" x14ac:dyDescent="0.3">
      <c r="A114" s="317" t="s">
        <v>394</v>
      </c>
      <c r="B114" s="316" t="s">
        <v>694</v>
      </c>
      <c r="C114" s="316" t="s">
        <v>395</v>
      </c>
      <c r="D114" s="316" t="s">
        <v>396</v>
      </c>
      <c r="E114" s="316" t="str">
        <f>tabIdiomas[[#This Row],[Cadena]]</f>
        <v>Primas de Seguros (% do Investimento Inicial, Anual)</v>
      </c>
    </row>
    <row r="115" spans="1:5" x14ac:dyDescent="0.3">
      <c r="A115" s="317" t="s">
        <v>397</v>
      </c>
      <c r="B115" s="316" t="s">
        <v>398</v>
      </c>
      <c r="C115" s="316" t="s">
        <v>399</v>
      </c>
      <c r="D115" s="316" t="s">
        <v>400</v>
      </c>
      <c r="E115" s="316" t="str">
        <f>tabIdiomas[[#This Row],[Cadena]]</f>
        <v>Servizos Bancarios</v>
      </c>
    </row>
    <row r="116" spans="1:5" x14ac:dyDescent="0.3">
      <c r="A116" s="317" t="s">
        <v>401</v>
      </c>
      <c r="B116" s="316" t="s">
        <v>697</v>
      </c>
      <c r="C116" s="316" t="s">
        <v>402</v>
      </c>
      <c r="D116" s="316" t="s">
        <v>403</v>
      </c>
      <c r="E116" s="316" t="str">
        <f>tabIdiomas[[#This Row],[Cadena]]</f>
        <v>Publicidade, Propaganda e RR.PP.</v>
      </c>
    </row>
    <row r="117" spans="1:5" x14ac:dyDescent="0.3">
      <c r="A117" s="317" t="s">
        <v>404</v>
      </c>
      <c r="B117" s="316" t="s">
        <v>698</v>
      </c>
      <c r="C117" s="316" t="s">
        <v>405</v>
      </c>
      <c r="D117" s="316" t="s">
        <v>406</v>
      </c>
      <c r="E117" s="316" t="str">
        <f>tabIdiomas[[#This Row],[Cadena]]</f>
        <v>Material e Actividades Publicitarias</v>
      </c>
    </row>
    <row r="118" spans="1:5" x14ac:dyDescent="0.3">
      <c r="A118" s="317" t="s">
        <v>407</v>
      </c>
      <c r="B118" s="316" t="s">
        <v>699</v>
      </c>
      <c r="C118" s="316" t="s">
        <v>408</v>
      </c>
      <c r="D118" s="316" t="s">
        <v>407</v>
      </c>
      <c r="E118" s="316" t="str">
        <f>tabIdiomas[[#This Row],[Cadena]]</f>
        <v>Actividades de Promoción</v>
      </c>
    </row>
    <row r="119" spans="1:5" x14ac:dyDescent="0.3">
      <c r="A119" s="317" t="s">
        <v>409</v>
      </c>
      <c r="B119" s="316" t="s">
        <v>410</v>
      </c>
      <c r="C119" s="316" t="s">
        <v>411</v>
      </c>
      <c r="D119" s="316" t="s">
        <v>412</v>
      </c>
      <c r="E119" s="316" t="str">
        <f>tabIdiomas[[#This Row],[Cadena]]</f>
        <v>Relacións Públicas</v>
      </c>
    </row>
    <row r="120" spans="1:5" x14ac:dyDescent="0.3">
      <c r="A120" s="317" t="s">
        <v>413</v>
      </c>
      <c r="B120" s="316" t="s">
        <v>700</v>
      </c>
      <c r="C120" s="316" t="s">
        <v>414</v>
      </c>
      <c r="D120" s="316" t="s">
        <v>415</v>
      </c>
      <c r="E120" s="316" t="str">
        <f>tabIdiomas[[#This Row],[Cadena]]</f>
        <v>Subministros</v>
      </c>
    </row>
    <row r="121" spans="1:5" x14ac:dyDescent="0.3">
      <c r="A121" s="317" t="s">
        <v>416</v>
      </c>
      <c r="B121" s="316" t="s">
        <v>701</v>
      </c>
      <c r="C121" s="316" t="s">
        <v>417</v>
      </c>
      <c r="D121" s="316" t="s">
        <v>418</v>
      </c>
      <c r="E121" s="316" t="str">
        <f>tabIdiomas[[#This Row],[Cadena]]</f>
        <v>Telefonía Fixa e/ou Móbil</v>
      </c>
    </row>
    <row r="122" spans="1:5" x14ac:dyDescent="0.3">
      <c r="A122" s="317" t="s">
        <v>419</v>
      </c>
      <c r="B122" s="316" t="s">
        <v>702</v>
      </c>
      <c r="C122" s="316" t="s">
        <v>420</v>
      </c>
      <c r="D122" s="316" t="s">
        <v>419</v>
      </c>
      <c r="E122" s="316" t="str">
        <f>tabIdiomas[[#This Row],[Cadena]]</f>
        <v>Conexión a Internet</v>
      </c>
    </row>
    <row r="123" spans="1:5" ht="28.8" x14ac:dyDescent="0.3">
      <c r="A123" s="317" t="s">
        <v>421</v>
      </c>
      <c r="B123" s="316" t="s">
        <v>703</v>
      </c>
      <c r="C123" s="316" t="s">
        <v>422</v>
      </c>
      <c r="D123" s="316" t="s">
        <v>423</v>
      </c>
      <c r="E123" s="316" t="str">
        <f>tabIdiomas[[#This Row],[Cadena]]</f>
        <v>Subministro de Electricidade (Termo de Potencia)</v>
      </c>
    </row>
    <row r="124" spans="1:5" ht="28.8" x14ac:dyDescent="0.3">
      <c r="A124" s="317" t="s">
        <v>424</v>
      </c>
      <c r="B124" s="316" t="s">
        <v>704</v>
      </c>
      <c r="C124" s="316" t="s">
        <v>425</v>
      </c>
      <c r="D124" s="316" t="s">
        <v>426</v>
      </c>
      <c r="E124" s="316" t="str">
        <f>tabIdiomas[[#This Row],[Cadena]]</f>
        <v>Subministro de Electricidade (Termo de Enerxía e Outros)</v>
      </c>
    </row>
    <row r="125" spans="1:5" x14ac:dyDescent="0.3">
      <c r="A125" s="317" t="s">
        <v>427</v>
      </c>
      <c r="B125" s="316" t="s">
        <v>428</v>
      </c>
      <c r="C125" s="316" t="s">
        <v>429</v>
      </c>
      <c r="D125" s="316" t="s">
        <v>430</v>
      </c>
      <c r="E125" s="316" t="str">
        <f>tabIdiomas[[#This Row],[Cadena]]</f>
        <v>Subministro de Auga Corrente</v>
      </c>
    </row>
    <row r="126" spans="1:5" ht="28.8" x14ac:dyDescent="0.3">
      <c r="A126" s="317" t="s">
        <v>431</v>
      </c>
      <c r="B126" s="316" t="s">
        <v>705</v>
      </c>
      <c r="C126" s="316" t="s">
        <v>432</v>
      </c>
      <c r="D126" s="316" t="s">
        <v>433</v>
      </c>
      <c r="E126" s="316" t="str">
        <f>tabIdiomas[[#This Row],[Cadena]]</f>
        <v>Necesidade de Conexión a Internet, Propia (Si/Non)</v>
      </c>
    </row>
    <row r="127" spans="1:5" ht="43.2" x14ac:dyDescent="0.3">
      <c r="A127" s="317" t="s">
        <v>434</v>
      </c>
      <c r="B127" s="316" t="s">
        <v>435</v>
      </c>
      <c r="C127" s="316" t="s">
        <v>436</v>
      </c>
      <c r="D127" s="316" t="s">
        <v>437</v>
      </c>
      <c r="E127" s="316" t="str">
        <f>tabIdiomas[[#This Row],[Cadena]]</f>
        <v>Outras Eventuais Percepcións dos Socios, procedentes da CE, Distintas da Enerxía Producida</v>
      </c>
    </row>
    <row r="128" spans="1:5" x14ac:dyDescent="0.3">
      <c r="A128" s="317" t="s">
        <v>438</v>
      </c>
      <c r="B128" s="316" t="s">
        <v>439</v>
      </c>
      <c r="C128" s="316" t="s">
        <v>440</v>
      </c>
      <c r="D128" s="316" t="s">
        <v>441</v>
      </c>
      <c r="E128" s="316" t="str">
        <f>tabIdiomas[[#This Row],[Cadena]]</f>
        <v>Valor Anual Conxunto de Socios (€)</v>
      </c>
    </row>
    <row r="129" spans="1:5" ht="43.2" x14ac:dyDescent="0.3">
      <c r="A129" s="317" t="s">
        <v>442</v>
      </c>
      <c r="B129" s="316" t="s">
        <v>443</v>
      </c>
      <c r="C129" s="316" t="s">
        <v>444</v>
      </c>
      <c r="D129" s="316" t="s">
        <v>445</v>
      </c>
      <c r="E129" s="316" t="str">
        <f>tabIdiomas[[#This Row],[Cadena]]</f>
        <v>Ingresos por Prestación Gratuíta de Outros Servizos pola Entidade Xestora da Iniciativa Comunitaria</v>
      </c>
    </row>
    <row r="130" spans="1:5" ht="28.8" x14ac:dyDescent="0.3">
      <c r="A130" s="317" t="s">
        <v>446</v>
      </c>
      <c r="B130" s="316" t="s">
        <v>447</v>
      </c>
      <c r="C130" s="316" t="s">
        <v>448</v>
      </c>
      <c r="D130" s="316" t="s">
        <v>449</v>
      </c>
      <c r="E130" s="316" t="str">
        <f>tabIdiomas[[#This Row],[Cadena]]</f>
        <v>Outros Ingresos Percibidos da Entidade Xestora da Iniciativa Comunitaria</v>
      </c>
    </row>
    <row r="131" spans="1:5" ht="28.8" x14ac:dyDescent="0.3">
      <c r="A131" s="317" t="s">
        <v>450</v>
      </c>
      <c r="B131" s="316" t="s">
        <v>451</v>
      </c>
      <c r="C131" s="316" t="s">
        <v>452</v>
      </c>
      <c r="D131" s="316" t="s">
        <v>453</v>
      </c>
      <c r="E131" s="316" t="str">
        <f>tabIdiomas[[#This Row],[Cadena]]</f>
        <v>Axuste de Exclusiva Aplicación para o Cálculo do Estado de Fluxos de Efectivo (EFE)</v>
      </c>
    </row>
    <row r="132" spans="1:5" ht="43.2" x14ac:dyDescent="0.3">
      <c r="A132" s="317" t="s">
        <v>454</v>
      </c>
      <c r="B132" s="316" t="s">
        <v>455</v>
      </c>
      <c r="C132" s="316" t="s">
        <v>456</v>
      </c>
      <c r="D132" s="316" t="s">
        <v>457</v>
      </c>
      <c r="E132" s="316" t="str">
        <f>tabIdiomas[[#This Row],[Cadena]]</f>
        <v>Inclusión do Valor da Enerxía Producida como Ingreso que Xera Fluxo de Efectivo (Si/Non)</v>
      </c>
    </row>
    <row r="133" spans="1:5" ht="43.2" x14ac:dyDescent="0.3">
      <c r="A133" s="317" t="s">
        <v>458</v>
      </c>
      <c r="B133" s="316" t="s">
        <v>459</v>
      </c>
      <c r="C133" s="316" t="s">
        <v>460</v>
      </c>
      <c r="D133" s="316" t="s">
        <v>461</v>
      </c>
      <c r="E133" s="316" t="str">
        <f>tabIdiomas[[#This Row],[Cadena]]</f>
        <v>Determinación da Enerxía Xerada (KWh) por KWp Ao Ano</v>
      </c>
    </row>
    <row r="134" spans="1:5" ht="28.8" x14ac:dyDescent="0.3">
      <c r="A134" s="317" t="s">
        <v>462</v>
      </c>
      <c r="B134" s="316" t="s">
        <v>463</v>
      </c>
      <c r="C134" s="316" t="s">
        <v>464</v>
      </c>
      <c r="D134" s="316" t="s">
        <v>465</v>
      </c>
      <c r="E134" s="316" t="str">
        <f>tabIdiomas[[#This Row],[Cadena]]</f>
        <v>Determinación do Consumo Mensual (KWh) do Socio Promedio Tipo</v>
      </c>
    </row>
    <row r="135" spans="1:5" x14ac:dyDescent="0.3">
      <c r="A135" s="317" t="s">
        <v>9</v>
      </c>
      <c r="B135" s="316" t="s">
        <v>466</v>
      </c>
      <c r="C135" s="316" t="s">
        <v>9</v>
      </c>
      <c r="D135" s="316" t="s">
        <v>9</v>
      </c>
      <c r="E135" s="316" t="str">
        <f>tabIdiomas[[#This Row],[Cadena]]</f>
        <v>Manual</v>
      </c>
    </row>
    <row r="136" spans="1:5" x14ac:dyDescent="0.3">
      <c r="A136" s="317" t="s">
        <v>467</v>
      </c>
      <c r="B136" s="316" t="s">
        <v>468</v>
      </c>
      <c r="C136" s="316" t="s">
        <v>469</v>
      </c>
      <c r="D136" s="316" t="s">
        <v>470</v>
      </c>
      <c r="E136" s="316" t="str">
        <f>tabIdiomas[[#This Row],[Cadena]]</f>
        <v>Automática (Só Galicia)</v>
      </c>
    </row>
    <row r="137" spans="1:5" ht="43.2" x14ac:dyDescent="0.3">
      <c r="A137" s="317" t="s">
        <v>471</v>
      </c>
      <c r="B137" s="316" t="s">
        <v>472</v>
      </c>
      <c r="C137" s="316" t="s">
        <v>473</v>
      </c>
      <c r="D137" s="316" t="s">
        <v>474</v>
      </c>
      <c r="E137" s="316" t="str">
        <f>tabIdiomas[[#This Row],[Cadena]]</f>
        <v>Enerxía Xerada (KWh) por KWp de Potencia Instalada ao Ano (Determinación Manual)</v>
      </c>
    </row>
    <row r="138" spans="1:5" ht="28.8" x14ac:dyDescent="0.3">
      <c r="A138" s="317" t="s">
        <v>475</v>
      </c>
      <c r="B138" s="316" t="s">
        <v>476</v>
      </c>
      <c r="C138" s="316" t="s">
        <v>477</v>
      </c>
      <c r="D138" s="316" t="s">
        <v>478</v>
      </c>
      <c r="E138" s="316" t="str">
        <f>tabIdiomas[[#This Row],[Cadena]]</f>
        <v>Consumo Eléctrico Mensual (KWh) do Socio Promedio Tipo (Determinación Manual)</v>
      </c>
    </row>
    <row r="139" spans="1:5" ht="28.8" x14ac:dyDescent="0.3">
      <c r="A139" s="317" t="s">
        <v>479</v>
      </c>
      <c r="B139" s="316" t="s">
        <v>706</v>
      </c>
      <c r="C139" s="316" t="s">
        <v>480</v>
      </c>
      <c r="D139" s="316" t="s">
        <v>481</v>
      </c>
      <c r="E139" s="316" t="str">
        <f>tabIdiomas[[#This Row],[Cadena]]</f>
        <v>Desglose de Gastos en Asesoramento e Xestoría (Outros Servizos)</v>
      </c>
    </row>
    <row r="140" spans="1:5" x14ac:dyDescent="0.3">
      <c r="A140" s="317" t="s">
        <v>482</v>
      </c>
      <c r="B140" s="316" t="s">
        <v>483</v>
      </c>
      <c r="C140" s="316" t="s">
        <v>484</v>
      </c>
      <c r="D140" s="316" t="s">
        <v>485</v>
      </c>
      <c r="E140" s="316" t="str">
        <f>tabIdiomas[[#This Row],[Cadena]]</f>
        <v>Xestión da Entidade (Ata 25 Socios)</v>
      </c>
    </row>
    <row r="141" spans="1:5" x14ac:dyDescent="0.3">
      <c r="A141" s="317" t="s">
        <v>486</v>
      </c>
      <c r="B141" s="316" t="s">
        <v>709</v>
      </c>
      <c r="C141" s="316" t="s">
        <v>487</v>
      </c>
      <c r="D141" s="316" t="s">
        <v>486</v>
      </c>
      <c r="E141" s="316" t="str">
        <f>tabIdiomas[[#This Row],[Cadena]]</f>
        <v>Monitoring Socios</v>
      </c>
    </row>
    <row r="142" spans="1:5" ht="28.8" x14ac:dyDescent="0.3">
      <c r="A142" s="317" t="s">
        <v>488</v>
      </c>
      <c r="B142" s="316" t="s">
        <v>710</v>
      </c>
      <c r="C142" s="316" t="s">
        <v>489</v>
      </c>
      <c r="D142" s="316" t="s">
        <v>490</v>
      </c>
      <c r="E142" s="316" t="str">
        <f>tabIdiomas[[#This Row],[Cadena]]</f>
        <v>Asesoramento Contable, Fiscal e Outros</v>
      </c>
    </row>
    <row r="143" spans="1:5" x14ac:dyDescent="0.3">
      <c r="A143" s="317" t="s">
        <v>491</v>
      </c>
      <c r="B143" s="316" t="s">
        <v>707</v>
      </c>
      <c r="C143" s="316" t="s">
        <v>492</v>
      </c>
      <c r="D143" s="316" t="s">
        <v>491</v>
      </c>
      <c r="E143" s="316" t="str">
        <f>tabIdiomas[[#This Row],[Cadena]]</f>
        <v>Imp. Mens. Por Socio (€)</v>
      </c>
    </row>
    <row r="144" spans="1:5" x14ac:dyDescent="0.3">
      <c r="A144" s="317" t="s">
        <v>493</v>
      </c>
      <c r="B144" s="316" t="s">
        <v>708</v>
      </c>
      <c r="C144" s="316" t="s">
        <v>494</v>
      </c>
      <c r="D144" s="316" t="s">
        <v>493</v>
      </c>
      <c r="E144" s="316" t="str">
        <f>tabIdiomas[[#This Row],[Cadena]]</f>
        <v>Importe Mensual (€)</v>
      </c>
    </row>
    <row r="145" spans="1:5" ht="57.6" x14ac:dyDescent="0.3">
      <c r="A145" s="317" t="s">
        <v>495</v>
      </c>
      <c r="B145" s="316" t="s">
        <v>711</v>
      </c>
      <c r="C145" s="316" t="s">
        <v>496</v>
      </c>
      <c r="D145" s="316" t="s">
        <v>497</v>
      </c>
      <c r="E145" s="316" t="str">
        <f>tabIdiomas[[#This Row],[Cadena]]</f>
        <v>Aplicabilidade do Epígrafe de Gasto 'Gastos Xerais Non Incluídos en Epígrafes Previos' (Mín. Outros Servizos = 5% s/ Cifra de Negocios)</v>
      </c>
    </row>
    <row r="146" spans="1:5" ht="28.8" x14ac:dyDescent="0.3">
      <c r="A146" s="317" t="s">
        <v>498</v>
      </c>
      <c r="B146" s="316" t="s">
        <v>712</v>
      </c>
      <c r="C146" s="316" t="s">
        <v>499</v>
      </c>
      <c r="D146" s="316" t="s">
        <v>500</v>
      </c>
      <c r="E146" s="316" t="str">
        <f>tabIdiomas[[#This Row],[Cadena]]</f>
        <v>Amortización Considerada Como Custo (Si/Non)</v>
      </c>
    </row>
    <row r="147" spans="1:5" ht="43.2" x14ac:dyDescent="0.3">
      <c r="A147" s="317" t="s">
        <v>501</v>
      </c>
      <c r="B147" s="316" t="s">
        <v>713</v>
      </c>
      <c r="C147" s="316" t="s">
        <v>502</v>
      </c>
      <c r="D147" s="316" t="s">
        <v>503</v>
      </c>
      <c r="E147" s="316" t="str">
        <f>tabIdiomas[[#This Row],[Cadena]]</f>
        <v>Garantías, Taxas Autonómicas, Municipais e Outras Obrigas Tributarias</v>
      </c>
    </row>
    <row r="148" spans="1:5" ht="43.2" x14ac:dyDescent="0.3">
      <c r="A148" s="317" t="s">
        <v>504</v>
      </c>
      <c r="B148" s="316" t="s">
        <v>717</v>
      </c>
      <c r="C148" s="316" t="s">
        <v>505</v>
      </c>
      <c r="D148" s="316" t="s">
        <v>506</v>
      </c>
      <c r="E148" s="316" t="str">
        <f>tabIdiomas[[#This Row],[Cadena]]</f>
        <v>Garantía Económica para Tramitación da Solicitude de Acceso e Conexión á Rede (40€/KW)</v>
      </c>
    </row>
    <row r="149" spans="1:5" ht="43.2" x14ac:dyDescent="0.3">
      <c r="A149" s="317" t="s">
        <v>507</v>
      </c>
      <c r="B149" s="316" t="s">
        <v>718</v>
      </c>
      <c r="C149" s="316" t="s">
        <v>508</v>
      </c>
      <c r="D149" s="316" t="s">
        <v>509</v>
      </c>
      <c r="E149" s="316" t="str">
        <f>tabIdiomas[[#This Row],[Cadena]]</f>
        <v>Taxa Autonómica por Inscrición en Rexistros Oficiais -Primeira Inscrición- (30.02.00 Anexo 1)</v>
      </c>
    </row>
    <row r="150" spans="1:5" ht="28.8" x14ac:dyDescent="0.3">
      <c r="A150" s="317" t="s">
        <v>510</v>
      </c>
      <c r="B150" s="316" t="s">
        <v>719</v>
      </c>
      <c r="C150" s="316" t="s">
        <v>511</v>
      </c>
      <c r="D150" s="316" t="s">
        <v>512</v>
      </c>
      <c r="E150" s="316" t="str">
        <f>tabIdiomas[[#This Row],[Cadena]]</f>
        <v>Taxa por Licencia Urbanística (Municipal)</v>
      </c>
    </row>
    <row r="151" spans="1:5" ht="28.8" x14ac:dyDescent="0.3">
      <c r="A151" s="317" t="s">
        <v>513</v>
      </c>
      <c r="B151" s="316" t="s">
        <v>720</v>
      </c>
      <c r="C151" s="316" t="s">
        <v>514</v>
      </c>
      <c r="D151" s="316" t="s">
        <v>515</v>
      </c>
      <c r="E151" s="316" t="str">
        <f>tabIdiomas[[#This Row],[Cadena]]</f>
        <v>Imposto sobre Construccións, Instalacións e Obras</v>
      </c>
    </row>
    <row r="152" spans="1:5" x14ac:dyDescent="0.3">
      <c r="A152" s="317" t="s">
        <v>516</v>
      </c>
      <c r="B152" s="316" t="s">
        <v>721</v>
      </c>
      <c r="C152" s="316" t="s">
        <v>517</v>
      </c>
      <c r="D152" s="316" t="s">
        <v>518</v>
      </c>
      <c r="E152" s="316" t="str">
        <f>tabIdiomas[[#This Row],[Cadena]]</f>
        <v>Taxa por Obtención de Licencia de Actividade</v>
      </c>
    </row>
    <row r="153" spans="1:5" x14ac:dyDescent="0.3">
      <c r="A153" s="317" t="s">
        <v>519</v>
      </c>
      <c r="B153" s="316" t="s">
        <v>722</v>
      </c>
      <c r="C153" s="316" t="s">
        <v>520</v>
      </c>
      <c r="D153" s="316" t="s">
        <v>521</v>
      </c>
      <c r="E153" s="316" t="str">
        <f>tabIdiomas[[#This Row],[Cadena]]</f>
        <v>Outras Obrigas Tributarias</v>
      </c>
    </row>
    <row r="154" spans="1:5" ht="57.6" x14ac:dyDescent="0.3">
      <c r="A154" s="317" t="s">
        <v>522</v>
      </c>
      <c r="B154" s="316" t="s">
        <v>523</v>
      </c>
      <c r="C154" s="316" t="s">
        <v>524</v>
      </c>
      <c r="D154" s="316" t="s">
        <v>525</v>
      </c>
      <c r="E154" s="316" t="str">
        <f>tabIdiomas[[#This Row],[Cadena]]</f>
        <v>Comprobacións Introdución Manual de Ratio de Produción e de Consumo do Socio Tipo cando a instalación NON se atopa en Galicia</v>
      </c>
    </row>
    <row r="155" spans="1:5" x14ac:dyDescent="0.3">
      <c r="A155" s="317" t="s">
        <v>526</v>
      </c>
      <c r="B155" s="316" t="s">
        <v>527</v>
      </c>
      <c r="C155" s="316" t="s">
        <v>528</v>
      </c>
      <c r="D155" s="316" t="s">
        <v>529</v>
      </c>
      <c r="E155" s="316" t="str">
        <f>tabIdiomas[[#This Row],[Cadena]]</f>
        <v>Prégase, NON CUBRIR:</v>
      </c>
    </row>
    <row r="156" spans="1:5" ht="43.2" x14ac:dyDescent="0.3">
      <c r="A156" s="317" t="s">
        <v>530</v>
      </c>
      <c r="B156" s="316" t="s">
        <v>531</v>
      </c>
      <c r="C156" s="316" t="s">
        <v>532</v>
      </c>
      <c r="D156" s="316" t="s">
        <v>533</v>
      </c>
      <c r="E156" s="316" t="str">
        <f>tabIdiomas[[#This Row],[Cadena]]</f>
        <v>Introdución Manual Enerxía Xerada por KWp Instalado</v>
      </c>
    </row>
    <row r="157" spans="1:5" ht="28.8" x14ac:dyDescent="0.3">
      <c r="A157" s="317" t="s">
        <v>534</v>
      </c>
      <c r="B157" s="316" t="s">
        <v>535</v>
      </c>
      <c r="C157" s="316" t="s">
        <v>536</v>
      </c>
      <c r="D157" s="316" t="s">
        <v>537</v>
      </c>
      <c r="E157" s="316" t="str">
        <f>tabIdiomas[[#This Row],[Cadena]]</f>
        <v>Introdución Manual do Consumo Mensual do Socio Tipo</v>
      </c>
    </row>
    <row r="158" spans="1:5" x14ac:dyDescent="0.3">
      <c r="A158" s="318" t="s">
        <v>538</v>
      </c>
      <c r="B158" s="316" t="s">
        <v>539</v>
      </c>
      <c r="C158" s="316" t="s">
        <v>540</v>
      </c>
      <c r="D158" s="316" t="s">
        <v>538</v>
      </c>
      <c r="E158" s="316" t="str">
        <f>tabIdiomas[[#This Row],[Cadena]]</f>
        <v>Verificación Correcta</v>
      </c>
    </row>
    <row r="159" spans="1:5" x14ac:dyDescent="0.3">
      <c r="A159" s="318" t="s">
        <v>541</v>
      </c>
      <c r="B159" s="316" t="s">
        <v>542</v>
      </c>
      <c r="C159" s="316" t="s">
        <v>543</v>
      </c>
      <c r="D159" s="316" t="s">
        <v>544</v>
      </c>
      <c r="E159" s="316" t="str">
        <f>tabIdiomas[[#This Row],[Cadena]]</f>
        <v>Verificación Non Aplicable</v>
      </c>
    </row>
    <row r="160" spans="1:5" x14ac:dyDescent="0.3">
      <c r="A160" s="318" t="s">
        <v>545</v>
      </c>
      <c r="B160" s="316" t="s">
        <v>546</v>
      </c>
      <c r="C160" s="316" t="s">
        <v>547</v>
      </c>
      <c r="D160" s="316" t="s">
        <v>545</v>
      </c>
      <c r="E160" s="316" t="str">
        <f>tabIdiomas[[#This Row],[Cadena]]</f>
        <v>Verificación Errónea</v>
      </c>
    </row>
    <row r="161" spans="1:5" x14ac:dyDescent="0.3">
      <c r="A161" s="317" t="s">
        <v>548</v>
      </c>
      <c r="B161" s="316" t="s">
        <v>549</v>
      </c>
      <c r="C161" s="316" t="s">
        <v>550</v>
      </c>
      <c r="D161" s="316" t="s">
        <v>551</v>
      </c>
      <c r="E161" s="316" t="str">
        <f>tabIdiomas[[#This Row],[Cadena]]</f>
        <v>Base Impoñible</v>
      </c>
    </row>
    <row r="162" spans="1:5" x14ac:dyDescent="0.3">
      <c r="A162" s="317" t="s">
        <v>552</v>
      </c>
      <c r="B162" s="316" t="s">
        <v>714</v>
      </c>
      <c r="C162" s="316" t="s">
        <v>553</v>
      </c>
      <c r="D162" s="316" t="s">
        <v>554</v>
      </c>
      <c r="E162" s="316" t="str">
        <f>tabIdiomas[[#This Row],[Cadena]]</f>
        <v>Tipo de Gravame</v>
      </c>
    </row>
    <row r="163" spans="1:5" ht="28.8" x14ac:dyDescent="0.3">
      <c r="A163" s="317" t="s">
        <v>555</v>
      </c>
      <c r="B163" s="316" t="s">
        <v>715</v>
      </c>
      <c r="C163" s="316" t="s">
        <v>556</v>
      </c>
      <c r="D163" s="316" t="s">
        <v>557</v>
      </c>
      <c r="E163" s="316" t="str">
        <f>tabIdiomas[[#This Row],[Cadena]]</f>
        <v>Cota Tributaria Íntegra</v>
      </c>
    </row>
    <row r="164" spans="1:5" ht="28.8" x14ac:dyDescent="0.3">
      <c r="A164" s="317" t="s">
        <v>558</v>
      </c>
      <c r="B164" s="316" t="s">
        <v>716</v>
      </c>
      <c r="C164" s="316" t="s">
        <v>559</v>
      </c>
      <c r="D164" s="316" t="s">
        <v>560</v>
      </c>
      <c r="E164" s="316" t="str">
        <f>tabIdiomas[[#This Row],[Cadena]]</f>
        <v>Deduc. Ou Bonif. sobre a Cota</v>
      </c>
    </row>
    <row r="165" spans="1:5" x14ac:dyDescent="0.3">
      <c r="A165" s="317" t="s">
        <v>561</v>
      </c>
      <c r="B165" s="316" t="s">
        <v>562</v>
      </c>
      <c r="C165" s="316" t="s">
        <v>563</v>
      </c>
      <c r="D165" s="316" t="s">
        <v>564</v>
      </c>
      <c r="E165" s="316" t="str">
        <f>tabIdiomas[[#This Row],[Cadena]]</f>
        <v>Aplicabilidade</v>
      </c>
    </row>
    <row r="166" spans="1:5" ht="28.8" x14ac:dyDescent="0.3">
      <c r="A166" s="317" t="s">
        <v>565</v>
      </c>
      <c r="B166" s="316" t="s">
        <v>723</v>
      </c>
      <c r="C166" s="316" t="s">
        <v>566</v>
      </c>
      <c r="D166" s="316" t="s">
        <v>567</v>
      </c>
      <c r="E166" s="316" t="str">
        <f>tabIdiomas[[#This Row],[Cadena]]</f>
        <v>Outras Perdas en Xestión Corrente</v>
      </c>
    </row>
    <row r="167" spans="1:5" x14ac:dyDescent="0.3">
      <c r="A167" s="317" t="s">
        <v>568</v>
      </c>
      <c r="B167" s="316" t="s">
        <v>569</v>
      </c>
      <c r="C167" s="316" t="s">
        <v>570</v>
      </c>
      <c r="D167" s="316" t="s">
        <v>568</v>
      </c>
      <c r="E167" s="316" t="str">
        <f>tabIdiomas[[#This Row],[Cadena]]</f>
        <v>Concepto</v>
      </c>
    </row>
    <row r="168" spans="1:5" x14ac:dyDescent="0.3">
      <c r="A168" s="317" t="s">
        <v>571</v>
      </c>
      <c r="B168" s="316" t="s">
        <v>681</v>
      </c>
      <c r="C168" s="316" t="s">
        <v>572</v>
      </c>
      <c r="D168" s="316" t="s">
        <v>573</v>
      </c>
      <c r="E168" s="316" t="str">
        <f>tabIdiomas[[#This Row],[Cadena]]</f>
        <v>Termo de Potencia (P1)</v>
      </c>
    </row>
    <row r="169" spans="1:5" x14ac:dyDescent="0.3">
      <c r="A169" s="317" t="s">
        <v>574</v>
      </c>
      <c r="B169" s="316" t="s">
        <v>682</v>
      </c>
      <c r="C169" s="316" t="s">
        <v>575</v>
      </c>
      <c r="D169" s="316" t="s">
        <v>576</v>
      </c>
      <c r="E169" s="316" t="str">
        <f>tabIdiomas[[#This Row],[Cadena]]</f>
        <v>Termo de Potencia (P2)</v>
      </c>
    </row>
    <row r="170" spans="1:5" ht="28.8" x14ac:dyDescent="0.3">
      <c r="A170" s="317" t="s">
        <v>577</v>
      </c>
      <c r="B170" s="316" t="s">
        <v>683</v>
      </c>
      <c r="C170" s="316" t="s">
        <v>578</v>
      </c>
      <c r="D170" s="316" t="s">
        <v>577</v>
      </c>
      <c r="E170" s="316" t="str">
        <f>tabIdiomas[[#This Row],[Cadena]]</f>
        <v>Financiación Bono Social</v>
      </c>
    </row>
    <row r="171" spans="1:5" x14ac:dyDescent="0.3">
      <c r="A171" s="317" t="s">
        <v>579</v>
      </c>
      <c r="B171" s="316" t="s">
        <v>684</v>
      </c>
      <c r="C171" s="316" t="s">
        <v>580</v>
      </c>
      <c r="D171" s="316" t="s">
        <v>581</v>
      </c>
      <c r="E171" s="316" t="str">
        <f>tabIdiomas[[#This Row],[Cadena]]</f>
        <v>Imposto sobre a Electricidade (Tipo Habitual)</v>
      </c>
    </row>
    <row r="172" spans="1:5" ht="28.8" x14ac:dyDescent="0.3">
      <c r="A172" s="317" t="s">
        <v>582</v>
      </c>
      <c r="B172" s="316" t="s">
        <v>685</v>
      </c>
      <c r="C172" s="316" t="s">
        <v>583</v>
      </c>
      <c r="D172" s="316" t="s">
        <v>584</v>
      </c>
      <c r="E172" s="316" t="str">
        <f>tabIdiomas[[#This Row],[Cadena]]</f>
        <v>Imposto sobre a Electricidade (Tipo Reducido Temporalmente)</v>
      </c>
    </row>
    <row r="173" spans="1:5" x14ac:dyDescent="0.3">
      <c r="A173" s="317" t="s">
        <v>585</v>
      </c>
      <c r="B173" s="316" t="s">
        <v>686</v>
      </c>
      <c r="C173" s="316" t="s">
        <v>586</v>
      </c>
      <c r="D173" s="316" t="s">
        <v>587</v>
      </c>
      <c r="E173" s="316" t="str">
        <f>tabIdiomas[[#This Row],[Cadena]]</f>
        <v>Aluguer do contador</v>
      </c>
    </row>
    <row r="174" spans="1:5" x14ac:dyDescent="0.3">
      <c r="A174" s="317" t="s">
        <v>588</v>
      </c>
      <c r="B174" s="316" t="s">
        <v>618</v>
      </c>
      <c r="C174" s="316" t="s">
        <v>589</v>
      </c>
      <c r="D174" s="316" t="s">
        <v>590</v>
      </c>
      <c r="E174" s="316" t="str">
        <f>tabIdiomas[[#This Row],[Cadena]]</f>
        <v>IVE (Tipo Habitual)</v>
      </c>
    </row>
    <row r="175" spans="1:5" x14ac:dyDescent="0.3">
      <c r="A175" s="317" t="s">
        <v>591</v>
      </c>
      <c r="B175" s="316" t="s">
        <v>688</v>
      </c>
      <c r="C175" s="316" t="s">
        <v>16</v>
      </c>
      <c r="D175" s="316" t="s">
        <v>592</v>
      </c>
      <c r="E175" s="316" t="str">
        <f>tabIdiomas[[#This Row],[Cadena]]</f>
        <v>IVE (Tipo Reducido Electricidade)</v>
      </c>
    </row>
    <row r="176" spans="1:5" ht="28.8" x14ac:dyDescent="0.3">
      <c r="A176" s="317" t="s">
        <v>593</v>
      </c>
      <c r="B176" s="316" t="s">
        <v>689</v>
      </c>
      <c r="C176" s="316" t="s">
        <v>594</v>
      </c>
      <c r="D176" s="316" t="s">
        <v>595</v>
      </c>
      <c r="E176" s="316" t="str">
        <f>tabIdiomas[[#This Row],[Cadena]]</f>
        <v>IVE (Tipo Super-Reducido Electr.)</v>
      </c>
    </row>
    <row r="177" spans="1:5" x14ac:dyDescent="0.3">
      <c r="A177" s="318" t="s">
        <v>596</v>
      </c>
      <c r="B177" s="316" t="s">
        <v>679</v>
      </c>
      <c r="C177" s="316" t="s">
        <v>597</v>
      </c>
      <c r="D177" s="316" t="s">
        <v>596</v>
      </c>
      <c r="E177" s="316" t="str">
        <f>tabIdiomas[[#This Row],[Cadena]]</f>
        <v>Valor</v>
      </c>
    </row>
    <row r="178" spans="1:5" x14ac:dyDescent="0.3">
      <c r="A178" s="317" t="s">
        <v>598</v>
      </c>
      <c r="B178" s="316" t="s">
        <v>599</v>
      </c>
      <c r="C178" s="316" t="s">
        <v>600</v>
      </c>
      <c r="D178" s="316" t="s">
        <v>601</v>
      </c>
      <c r="E178" s="316" t="str">
        <f>tabIdiomas[[#This Row],[Cadena]]</f>
        <v>Unidade</v>
      </c>
    </row>
    <row r="179" spans="1:5" x14ac:dyDescent="0.3">
      <c r="A179" s="317" t="s">
        <v>602</v>
      </c>
      <c r="B179" s="316" t="s">
        <v>690</v>
      </c>
      <c r="C179" s="316" t="s">
        <v>603</v>
      </c>
      <c r="D179" s="316" t="s">
        <v>604</v>
      </c>
      <c r="E179" s="316" t="str">
        <f>tabIdiomas[[#This Row],[Cadena]]</f>
        <v>€/KW e día</v>
      </c>
    </row>
    <row r="180" spans="1:5" x14ac:dyDescent="0.3">
      <c r="A180" s="317" t="s">
        <v>605</v>
      </c>
      <c r="B180" s="316" t="s">
        <v>691</v>
      </c>
      <c r="C180" s="316" t="s">
        <v>606</v>
      </c>
      <c r="D180" s="316" t="s">
        <v>605</v>
      </c>
      <c r="E180" s="316" t="str">
        <f>tabIdiomas[[#This Row],[Cadena]]</f>
        <v>€/día</v>
      </c>
    </row>
    <row r="181" spans="1:5" x14ac:dyDescent="0.3">
      <c r="A181" s="317" t="s">
        <v>607</v>
      </c>
      <c r="B181" s="316" t="s">
        <v>608</v>
      </c>
      <c r="C181" s="316" t="s">
        <v>609</v>
      </c>
      <c r="D181" s="316" t="s">
        <v>607</v>
      </c>
      <c r="E181" s="316" t="str">
        <f>tabIdiomas[[#This Row],[Cadena]]</f>
        <v>% s/ Suma Conceptos Previos</v>
      </c>
    </row>
    <row r="182" spans="1:5" x14ac:dyDescent="0.3">
      <c r="A182" s="317" t="s">
        <v>610</v>
      </c>
      <c r="B182" s="316" t="s">
        <v>724</v>
      </c>
      <c r="C182" s="316" t="s">
        <v>611</v>
      </c>
      <c r="D182" s="316" t="s">
        <v>610</v>
      </c>
      <c r="E182" s="316" t="str">
        <f>tabIdiomas[[#This Row],[Cadena]]</f>
        <v>% s/ BI (Suma Conceptos Previos)</v>
      </c>
    </row>
    <row r="183" spans="1:5" ht="28.8" x14ac:dyDescent="0.3">
      <c r="A183" s="318" t="s">
        <v>612</v>
      </c>
      <c r="B183" s="316" t="s">
        <v>693</v>
      </c>
      <c r="C183" s="316" t="s">
        <v>613</v>
      </c>
      <c r="D183" s="316" t="s">
        <v>612</v>
      </c>
      <c r="E183" s="316" t="str">
        <f>tabIdiomas[[#This Row],[Cadena]]</f>
        <v>Potencia Contratada por Cada Socio Individual</v>
      </c>
    </row>
    <row r="184" spans="1:5" x14ac:dyDescent="0.3">
      <c r="A184" s="318" t="s">
        <v>614</v>
      </c>
      <c r="B184" s="316" t="s">
        <v>695</v>
      </c>
      <c r="C184" s="316" t="s">
        <v>615</v>
      </c>
      <c r="D184" s="316" t="s">
        <v>616</v>
      </c>
      <c r="E184" s="316" t="s">
        <v>617</v>
      </c>
    </row>
    <row r="185" spans="1:5" x14ac:dyDescent="0.3">
      <c r="A185" s="318" t="s">
        <v>18</v>
      </c>
      <c r="B185" s="316" t="s">
        <v>618</v>
      </c>
      <c r="C185" s="316" t="s">
        <v>589</v>
      </c>
      <c r="D185" s="316" t="s">
        <v>590</v>
      </c>
      <c r="E185" s="316" t="s">
        <v>588</v>
      </c>
    </row>
    <row r="186" spans="1:5" x14ac:dyDescent="0.3">
      <c r="A186" s="318" t="s">
        <v>19</v>
      </c>
      <c r="B186" s="316" t="s">
        <v>619</v>
      </c>
      <c r="C186" s="316" t="s">
        <v>16</v>
      </c>
      <c r="D186" s="316" t="s">
        <v>592</v>
      </c>
      <c r="E186" s="316" t="s">
        <v>591</v>
      </c>
    </row>
    <row r="187" spans="1:5" ht="28.8" x14ac:dyDescent="0.3">
      <c r="A187" s="318" t="s">
        <v>20</v>
      </c>
      <c r="B187" s="316" t="s">
        <v>620</v>
      </c>
      <c r="C187" s="316" t="s">
        <v>594</v>
      </c>
      <c r="D187" s="316" t="s">
        <v>595</v>
      </c>
      <c r="E187" s="316" t="s">
        <v>621</v>
      </c>
    </row>
    <row r="188" spans="1:5" x14ac:dyDescent="0.3">
      <c r="A188" s="318" t="s">
        <v>622</v>
      </c>
      <c r="B188" s="316" t="s">
        <v>622</v>
      </c>
      <c r="C188" s="316" t="s">
        <v>622</v>
      </c>
      <c r="D188" s="316" t="s">
        <v>622</v>
      </c>
      <c r="E188" s="316" t="str">
        <f>tabIdiomas[[#This Row],[Cadena]]</f>
        <v>KW</v>
      </c>
    </row>
    <row r="189" spans="1:5" ht="28.8" x14ac:dyDescent="0.3">
      <c r="A189" s="318" t="s">
        <v>623</v>
      </c>
      <c r="B189" s="316" t="s">
        <v>624</v>
      </c>
      <c r="C189" s="316" t="s">
        <v>625</v>
      </c>
      <c r="D189" s="316" t="s">
        <v>626</v>
      </c>
      <c r="E189" s="316" t="str">
        <f>tabIdiomas[[#This Row],[Cadena]]</f>
        <v>Imposto s/Electricidade Reducido? (Si / Non)</v>
      </c>
    </row>
    <row r="190" spans="1:5" ht="28.8" x14ac:dyDescent="0.3">
      <c r="A190" s="318" t="s">
        <v>627</v>
      </c>
      <c r="B190" s="316" t="s">
        <v>696</v>
      </c>
      <c r="C190" s="316" t="s">
        <v>628</v>
      </c>
      <c r="D190" s="316" t="s">
        <v>629</v>
      </c>
      <c r="E190" s="316" t="str">
        <f>tabIdiomas[[#This Row],[Cadena]]</f>
        <v>Hipóteses Participación Heteroxénea (Distrib. Aleatoria dos Consumos)</v>
      </c>
    </row>
    <row r="191" spans="1:5" ht="28.8" x14ac:dyDescent="0.3">
      <c r="A191" s="318" t="s">
        <v>630</v>
      </c>
      <c r="B191" s="316" t="s">
        <v>631</v>
      </c>
      <c r="C191" s="316" t="s">
        <v>632</v>
      </c>
      <c r="D191" s="316" t="s">
        <v>630</v>
      </c>
      <c r="E191" s="316" t="str">
        <f>tabIdiomas[[#This Row],[Cadena]]</f>
        <v>Consumo Mensual Máximo de Cada Socio Individual (KWh)</v>
      </c>
    </row>
    <row r="192" spans="1:5" ht="28.8" x14ac:dyDescent="0.3">
      <c r="A192" s="318" t="s">
        <v>633</v>
      </c>
      <c r="B192" s="316" t="s">
        <v>634</v>
      </c>
      <c r="C192" s="316" t="s">
        <v>635</v>
      </c>
      <c r="D192" s="316" t="s">
        <v>633</v>
      </c>
      <c r="E192" s="316" t="str">
        <f>tabIdiomas[[#This Row],[Cadena]]</f>
        <v>Consumo Mensual Mínimo de Cada Socio Individual (KWh)</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0281-8CAD-4FA5-BCE6-A161FC11CA8E}">
  <sheetPr>
    <tabColor rgb="FFFFFF00"/>
  </sheetPr>
  <dimension ref="A1:AZ6"/>
  <sheetViews>
    <sheetView topLeftCell="L1" workbookViewId="0">
      <selection activeCell="B8" sqref="B8"/>
    </sheetView>
  </sheetViews>
  <sheetFormatPr baseColWidth="10" defaultColWidth="11.44140625" defaultRowHeight="14.4" x14ac:dyDescent="0.3"/>
  <cols>
    <col min="1" max="1" width="20.77734375" bestFit="1" customWidth="1"/>
    <col min="2" max="2" width="20.21875" bestFit="1" customWidth="1"/>
    <col min="3" max="3" width="20.77734375" bestFit="1" customWidth="1"/>
    <col min="4" max="4" width="20.21875" bestFit="1" customWidth="1"/>
    <col min="12" max="12" width="20.21875" bestFit="1" customWidth="1"/>
    <col min="14" max="14" width="20.21875" bestFit="1" customWidth="1"/>
    <col min="15" max="15" width="26.21875" bestFit="1" customWidth="1"/>
    <col min="16" max="16" width="20.21875" bestFit="1" customWidth="1"/>
    <col min="18" max="18" width="20.21875" bestFit="1" customWidth="1"/>
    <col min="19" max="19" width="24.77734375" customWidth="1"/>
    <col min="20" max="20" width="20.21875" bestFit="1" customWidth="1"/>
    <col min="21" max="21" width="13.44140625" customWidth="1"/>
    <col min="22" max="22" width="21.77734375" bestFit="1" customWidth="1"/>
    <col min="23" max="23" width="16.44140625" customWidth="1"/>
    <col min="24" max="24" width="21.77734375" bestFit="1" customWidth="1"/>
    <col min="27" max="27" width="30.77734375" customWidth="1"/>
    <col min="28" max="28" width="7.77734375" customWidth="1"/>
    <col min="29" max="29" width="19.77734375" customWidth="1"/>
    <col min="30" max="30" width="24.21875" customWidth="1"/>
    <col min="33" max="33" width="41.44140625" customWidth="1"/>
    <col min="34" max="34" width="24.5546875" customWidth="1"/>
    <col min="35" max="35" width="17.21875" customWidth="1"/>
    <col min="36" max="36" width="20.21875" customWidth="1"/>
    <col min="38" max="38" width="20.77734375" customWidth="1"/>
    <col min="42" max="42" width="14.21875" customWidth="1"/>
    <col min="47" max="47" width="26.21875" customWidth="1"/>
    <col min="48" max="48" width="18.77734375" customWidth="1"/>
    <col min="49" max="49" width="25.77734375" customWidth="1"/>
    <col min="50" max="50" width="23.5546875" customWidth="1"/>
    <col min="51" max="51" width="10.77734375" customWidth="1"/>
    <col min="52" max="52" width="34.21875" bestFit="1" customWidth="1"/>
  </cols>
  <sheetData>
    <row r="1" spans="1:52" s="10" customFormat="1" ht="55.2" x14ac:dyDescent="0.3">
      <c r="A1" s="10" t="s">
        <v>36</v>
      </c>
      <c r="B1" s="224"/>
      <c r="C1" s="10" t="s">
        <v>50</v>
      </c>
      <c r="D1" s="224"/>
      <c r="E1" s="10" t="s">
        <v>636</v>
      </c>
      <c r="F1" s="224"/>
      <c r="G1" s="10" t="s">
        <v>637</v>
      </c>
      <c r="H1" s="224"/>
      <c r="I1" s="10" t="s">
        <v>638</v>
      </c>
      <c r="J1" s="224"/>
      <c r="K1" s="10" t="s">
        <v>639</v>
      </c>
      <c r="M1" s="225" t="s">
        <v>640</v>
      </c>
      <c r="O1" s="225" t="s">
        <v>641</v>
      </c>
      <c r="Q1" s="225" t="s">
        <v>642</v>
      </c>
      <c r="S1" s="225" t="s">
        <v>643</v>
      </c>
      <c r="U1" s="225" t="s">
        <v>301</v>
      </c>
      <c r="W1" s="225" t="s">
        <v>644</v>
      </c>
      <c r="Y1" s="1941" t="s">
        <v>431</v>
      </c>
      <c r="Z1" s="1942"/>
      <c r="AA1" s="226" t="s">
        <v>645</v>
      </c>
      <c r="AC1" s="1943" t="s">
        <v>495</v>
      </c>
      <c r="AD1" s="1944"/>
      <c r="AE1" s="1937" t="s">
        <v>498</v>
      </c>
      <c r="AF1" s="1938"/>
      <c r="AG1" s="226" t="s">
        <v>646</v>
      </c>
      <c r="AI1" s="1937" t="s">
        <v>504</v>
      </c>
      <c r="AJ1" s="1938"/>
      <c r="AK1" s="1937" t="s">
        <v>507</v>
      </c>
      <c r="AL1" s="1938"/>
      <c r="AM1" s="1937" t="s">
        <v>510</v>
      </c>
      <c r="AN1" s="1938"/>
      <c r="AO1" s="1937" t="s">
        <v>513</v>
      </c>
      <c r="AP1" s="1938"/>
      <c r="AQ1" s="1937" t="s">
        <v>516</v>
      </c>
      <c r="AR1" s="1938"/>
      <c r="AS1" s="1939" t="s">
        <v>519</v>
      </c>
      <c r="AT1" s="1940"/>
      <c r="AU1" s="235" t="s">
        <v>647</v>
      </c>
      <c r="AW1" s="225" t="s">
        <v>625</v>
      </c>
      <c r="AY1" s="225" t="s">
        <v>614</v>
      </c>
    </row>
    <row r="2" spans="1:52" x14ac:dyDescent="0.3">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
      <c r="A3" t="s">
        <v>1</v>
      </c>
      <c r="B3" t="str">
        <f>VLOOKUP(tabRespPreg1[[#This Row],[Respuestas Pregunta]],tabIdiomas[],MATCH('General Hipotheses (INTRO)'!$D$2,tabIdiomas[#Headers],0),FALSE)</f>
        <v>Galicia</v>
      </c>
      <c r="C3" t="s">
        <v>50</v>
      </c>
      <c r="D3" t="str">
        <f>VLOOKUP(tabRespPreg2[[#This Row],[Respuestas Pregunta]],tabIdiomas[],MATCH('General Hipotheses (INTRO)'!$D$2,tabIdiomas[#Headers],0),FALSE)</f>
        <v>Province</v>
      </c>
      <c r="E3" t="s">
        <v>69</v>
      </c>
      <c r="F3" t="str">
        <f>VLOOKUP(tabRespPreg24_1[[#This Row],[Respuestas Pregunta]],tabIdiomas[],MATCH('General Hipotheses (INTRO)'!$D$2,tabIdiomas[#Headers],0),FALSE)</f>
        <v>A Coruña</v>
      </c>
      <c r="G3" t="s">
        <v>103</v>
      </c>
      <c r="H3" t="str">
        <f>VLOOKUP(tabRespPreg15[[#This Row],[Respuestas Pregunta]],tabIdiomas[],MATCH('General Hipotheses (INTRO)'!$D$2,tabIdiomas[#Headers],0),FALSE)</f>
        <v>Yes</v>
      </c>
      <c r="I3" t="s">
        <v>103</v>
      </c>
      <c r="J3" t="str">
        <f>VLOOKUP(tabRespPreg156[[#This Row],[Respuestas Pregunta]],tabIdiomas[],MATCH('General Hipotheses (INTRO)'!$D$2,tabIdiomas[#Headers],0),FALSE)</f>
        <v>Yes</v>
      </c>
      <c r="K3" t="s">
        <v>165</v>
      </c>
      <c r="L3" t="str">
        <f>VLOOKUP(tabRespPreg1568[[#This Row],[Respuestas Pregunta]],tabIdiomas[],MATCH('General Hipotheses (INTRO)'!$D$2,tabIdiomas[#Headers],0),FALSE)</f>
        <v>Fixed</v>
      </c>
      <c r="M3" t="s">
        <v>103</v>
      </c>
      <c r="N3" t="str">
        <f>VLOOKUP(tabRespPreg1510[[#This Row],[Respuestas Pregunta]],tabIdiomas[],MATCH('General Hipotheses (INTRO)'!$D$2,tabIdiomas[#Headers],0),FALSE)</f>
        <v>Yes</v>
      </c>
      <c r="O3" t="s">
        <v>184</v>
      </c>
      <c r="P3" t="str">
        <f>VLOOKUP(tabRespPreg112[[#This Row],[Respuestas Pregunta]],tabIdiomas[],MATCH('General Hipotheses (INTRO)'!$D$2,tabIdiomas[#Headers],0),FALSE)</f>
        <v>Own Staff</v>
      </c>
      <c r="Q3" t="s">
        <v>103</v>
      </c>
      <c r="R3" t="str">
        <f>VLOOKUP(tabRespPreg151013[[#This Row],[Respuestas Pregunta]],tabIdiomas[],MATCH('General Hipotheses (INTRO)'!$D$2,tabIdiomas[#Headers],0),FALSE)</f>
        <v>Yes</v>
      </c>
      <c r="S3" t="s">
        <v>103</v>
      </c>
      <c r="T3" t="str">
        <f>VLOOKUP(tabRespPreg15101314[[#This Row],[Respuestas Pregunta]],tabIdiomas[],MATCH('General Hipotheses (INTRO)'!$D$2,tabIdiomas[#Headers],0),FALSE)</f>
        <v>Yes</v>
      </c>
      <c r="U3" t="s">
        <v>304</v>
      </c>
      <c r="V3" t="str">
        <f>VLOOKUP(tabRespPreg1510131415[[#This Row],[Respuestas Pregunta]],tabIdiomas[],MATCH('General Hipotheses (INTRO)'!$D$2,tabIdiomas[#Headers],0),FALSE)</f>
        <v>Compensation</v>
      </c>
      <c r="W3" t="s">
        <v>103</v>
      </c>
      <c r="X3" t="str">
        <f>VLOOKUP(tabRespPreg1510131416[[#This Row],[Respuestas Pregunta]],tabIdiomas[],MATCH('General Hipotheses (INTRO)'!$D$2,tabIdiomas[#Headers],0),FALSE)</f>
        <v>Yes</v>
      </c>
      <c r="Y3" t="s">
        <v>103</v>
      </c>
      <c r="Z3" t="str">
        <f>VLOOKUP(tabRespPreg15101314169[[#This Row],[Respuestas Pregunta]],tabIdiomas[],MATCH('General Hipotheses (INTRO)'!$D$2,tabIdiomas[#Headers],0),FALSE)</f>
        <v>Yes</v>
      </c>
      <c r="AA3" t="s">
        <v>103</v>
      </c>
      <c r="AB3" t="str">
        <f>VLOOKUP(tabRespPreg151013141611[[#This Row],[Respuestas Pregunta]],tabIdiomas[],MATCH('General Hipotheses (INTRO)'!$D$2,tabIdiomas[#Headers],0),FALSE)</f>
        <v>Yes</v>
      </c>
      <c r="AC3" t="s">
        <v>103</v>
      </c>
      <c r="AD3" t="str">
        <f>VLOOKUP(tabRespPreg15101314161117[[#This Row],[Respuestas Pregunta]],tabIdiomas[],MATCH('General Hipotheses (INTRO)'!$D$2,tabIdiomas[#Headers],0),FALSE)</f>
        <v>Yes</v>
      </c>
      <c r="AE3" t="s">
        <v>103</v>
      </c>
      <c r="AF3" t="str">
        <f>VLOOKUP(tabRespPreg1510131416111718[[#This Row],[Respuestas Pregunta]],tabIdiomas[],MATCH('General Hipotheses (INTRO)'!$D$2,tabIdiomas[#Headers],0),FALSE)</f>
        <v>Yes</v>
      </c>
      <c r="AG3" t="s">
        <v>467</v>
      </c>
      <c r="AH3" t="str">
        <f>VLOOKUP(tabRespPreg151013141620[[#This Row],[Respuestas Pregunta]],tabIdiomas[],MATCH('General Hipotheses (INTRO)'!$D$2,tabIdiomas[#Headers],0),FALSE)</f>
        <v>Automatic (Only for Galicia)</v>
      </c>
      <c r="AI3" t="s">
        <v>103</v>
      </c>
      <c r="AJ3" t="str">
        <f>VLOOKUP(tabRespPreg151013141611171819[[#This Row],[Respuestas Pregunta]],tabIdiomas[],MATCH('General Hipotheses (INTRO)'!$D$2,tabIdiomas[#Headers],0),FALSE)</f>
        <v>Yes</v>
      </c>
      <c r="AK3" t="s">
        <v>103</v>
      </c>
      <c r="AL3" t="str">
        <f>VLOOKUP(tabRespPreg15101314161117181921[[#This Row],[Respuestas Pregunta]],tabIdiomas[],MATCH('General Hipotheses (INTRO)'!$D$2,tabIdiomas[#Headers],0),FALSE)</f>
        <v>Yes</v>
      </c>
      <c r="AM3" t="s">
        <v>103</v>
      </c>
      <c r="AN3" t="str">
        <f>VLOOKUP(tabRespPreg1510131416111718192122[[#This Row],[Respuestas Pregunta]],tabIdiomas[],MATCH('General Hipotheses (INTRO)'!$D$2,tabIdiomas[#Headers],0),FALSE)</f>
        <v>Yes</v>
      </c>
      <c r="AO3" t="s">
        <v>103</v>
      </c>
      <c r="AP3" t="str">
        <f>VLOOKUP(tabRespPreg151013141611171819212223[[#This Row],[Respuestas Pregunta]],tabIdiomas[],MATCH('General Hipotheses (INTRO)'!$D$2,tabIdiomas[#Headers],0),FALSE)</f>
        <v>Yes</v>
      </c>
      <c r="AQ3" t="s">
        <v>103</v>
      </c>
      <c r="AR3" t="str">
        <f>VLOOKUP(tabRespPreg15101314161117181921222324[[#This Row],[Respuestas Pregunta]],tabIdiomas[],MATCH('General Hipotheses (INTRO)'!$D$2,tabIdiomas[#Headers],0),FALSE)</f>
        <v>Yes</v>
      </c>
      <c r="AS3" t="s">
        <v>103</v>
      </c>
      <c r="AT3" t="str">
        <f>VLOOKUP(tabRespPreg1510131416111718192122232425[[#This Row],[Respuestas Pregunta]],tabIdiomas[],MATCH('General Hipotheses (INTRO)'!$D$2,tabIdiomas[#Headers],0),FALSE)</f>
        <v>Yes</v>
      </c>
      <c r="AU3" t="s">
        <v>538</v>
      </c>
      <c r="AV3" t="str">
        <f>VLOOKUP(tabRespPreg11227[[#This Row],[Respuestas Pregunta]],tabIdiomas[],MATCH('General Hipotheses (INTRO)'!$D$2,tabIdiomas[#Headers],0),FALSE)</f>
        <v>Right Check</v>
      </c>
      <c r="AW3" t="s">
        <v>103</v>
      </c>
      <c r="AX3" t="str">
        <f>VLOOKUP(tabRespPreg151013141611171819212223242528[[#This Row],[Respuestas Pregunta]],tabIdiomas[],MATCH('General Hipotheses (INTRO)'!$D$2,tabIdiomas[#Headers],0),FALSE)</f>
        <v>Yes</v>
      </c>
      <c r="AY3" t="s">
        <v>18</v>
      </c>
      <c r="AZ3" t="str">
        <f>VLOOKUP(tabRespPreg1122729[[#This Row],[Respuestas Pregunta]],tabIdiomas[],MATCH('General Hipotheses (INTRO)'!$D$2,tabIdiomas[#Headers],0),FALSE)</f>
        <v>VAT (Ordinary Tax Rate)</v>
      </c>
    </row>
    <row r="4" spans="1:52" x14ac:dyDescent="0.3">
      <c r="A4" t="s">
        <v>40</v>
      </c>
      <c r="B4" t="str">
        <f>VLOOKUP(tabRespPreg1[[#This Row],[Respuestas Pregunta]],tabIdiomas[],MATCH('General Hipotheses (INTRO)'!$D$2,tabIdiomas[#Headers],0),FALSE)</f>
        <v>Rest of Spain</v>
      </c>
      <c r="E4" t="s">
        <v>70</v>
      </c>
      <c r="F4" t="str">
        <f>VLOOKUP(tabRespPreg24_1[[#This Row],[Respuestas Pregunta]],tabIdiomas[],MATCH('General Hipotheses (INTRO)'!$D$2,tabIdiomas[#Headers],0),FALSE)</f>
        <v>Lugo</v>
      </c>
      <c r="G4" t="s">
        <v>12</v>
      </c>
      <c r="H4" t="str">
        <f>VLOOKUP(tabRespPreg15[[#This Row],[Respuestas Pregunta]],tabIdiomas[],MATCH('General Hipotheses (INTRO)'!$D$2,tabIdiomas[#Headers],0),FALSE)</f>
        <v>No</v>
      </c>
      <c r="I4" t="s">
        <v>12</v>
      </c>
      <c r="J4" t="str">
        <f>VLOOKUP(tabRespPreg156[[#This Row],[Respuestas Pregunta]],tabIdiomas[],MATCH('General Hipotheses (INTRO)'!$D$2,tabIdiomas[#Headers],0),FALSE)</f>
        <v>No</v>
      </c>
      <c r="K4" t="s">
        <v>168</v>
      </c>
      <c r="L4" t="str">
        <f>VLOOKUP(tabRespPreg1568[[#This Row],[Respuestas Pregunta]],tabIdiomas[],MATCH('General Hipotheses (INTRO)'!$D$2,tabIdiomas[#Headers],0),FALSE)</f>
        <v>Proportional</v>
      </c>
      <c r="M4" t="s">
        <v>12</v>
      </c>
      <c r="N4" t="str">
        <f>VLOOKUP(tabRespPreg1510[[#This Row],[Respuestas Pregunta]],tabIdiomas[],MATCH('General Hipotheses (INTRO)'!$D$2,tabIdiomas[#Headers],0),FALSE)</f>
        <v>No</v>
      </c>
      <c r="O4" t="s">
        <v>188</v>
      </c>
      <c r="P4" t="str">
        <f>VLOOKUP(tabRespPreg112[[#This Row],[Respuestas Pregunta]],tabIdiomas[],MATCH('General Hipotheses (INTRO)'!$D$2,tabIdiomas[#Headers],0),FALSE)</f>
        <v>Outsourcing</v>
      </c>
      <c r="Q4" t="s">
        <v>12</v>
      </c>
      <c r="R4" t="str">
        <f>VLOOKUP(tabRespPreg151013[[#This Row],[Respuestas Pregunta]],tabIdiomas[],MATCH('General Hipotheses (INTRO)'!$D$2,tabIdiomas[#Headers],0),FALSE)</f>
        <v>No</v>
      </c>
      <c r="S4" t="s">
        <v>12</v>
      </c>
      <c r="T4" t="str">
        <f>VLOOKUP(tabRespPreg15101314[[#This Row],[Respuestas Pregunta]],tabIdiomas[],MATCH('General Hipotheses (INTRO)'!$D$2,tabIdiomas[#Headers],0),FALSE)</f>
        <v>No</v>
      </c>
      <c r="U4" t="s">
        <v>306</v>
      </c>
      <c r="V4" t="str">
        <f>VLOOKUP(tabRespPreg1510131415[[#This Row],[Respuestas Pregunta]],tabIdiomas[],MATCH('General Hipotheses (INTRO)'!$D$2,tabIdiomas[#Headers],0),FALSE)</f>
        <v>Sale</v>
      </c>
      <c r="W4" t="s">
        <v>12</v>
      </c>
      <c r="X4" t="str">
        <f>VLOOKUP(tabRespPreg1510131416[[#This Row],[Respuestas Pregunta]],tabIdiomas[],MATCH('General Hipotheses (INTRO)'!$D$2,tabIdiomas[#Headers],0),FALSE)</f>
        <v>No</v>
      </c>
      <c r="Y4" t="s">
        <v>12</v>
      </c>
      <c r="Z4" t="str">
        <f>VLOOKUP(tabRespPreg15101314169[[#This Row],[Respuestas Pregunta]],tabIdiomas[],MATCH('General Hipotheses (INTRO)'!$D$2,tabIdiomas[#Headers],0),FALSE)</f>
        <v>No</v>
      </c>
      <c r="AA4" t="s">
        <v>12</v>
      </c>
      <c r="AB4" t="str">
        <f>VLOOKUP(tabRespPreg151013141611[[#This Row],[Respuestas Pregunta]],tabIdiomas[],MATCH('General Hipotheses (INTRO)'!$D$2,tabIdiomas[#Headers],0),FALSE)</f>
        <v>No</v>
      </c>
      <c r="AC4" t="s">
        <v>12</v>
      </c>
      <c r="AD4" t="str">
        <f>VLOOKUP(tabRespPreg15101314161117[[#This Row],[Respuestas Pregunta]],tabIdiomas[],MATCH('General Hipotheses (INTRO)'!$D$2,tabIdiomas[#Headers],0),FALSE)</f>
        <v>No</v>
      </c>
      <c r="AE4" t="s">
        <v>12</v>
      </c>
      <c r="AF4" t="str">
        <f>VLOOKUP(tabRespPreg1510131416111718[[#This Row],[Respuestas Pregunta]],tabIdiomas[],MATCH('General Hipotheses (INTRO)'!$D$2,tabIdiomas[#Headers],0),FALSE)</f>
        <v>No</v>
      </c>
      <c r="AG4" t="s">
        <v>9</v>
      </c>
      <c r="AH4" t="str">
        <f>VLOOKUP(tabRespPreg151013141620[[#This Row],[Respuestas Pregunta]],tabIdiomas[],MATCH('General Hipotheses (INTRO)'!$D$2,tabIdiomas[#Headers],0),FALSE)</f>
        <v>Manual</v>
      </c>
      <c r="AI4" t="s">
        <v>12</v>
      </c>
      <c r="AJ4" t="str">
        <f>VLOOKUP(tabRespPreg151013141611171819[[#This Row],[Respuestas Pregunta]],tabIdiomas[],MATCH('General Hipotheses (INTRO)'!$D$2,tabIdiomas[#Headers],0),FALSE)</f>
        <v>No</v>
      </c>
      <c r="AK4" t="s">
        <v>12</v>
      </c>
      <c r="AL4" t="str">
        <f>VLOOKUP(tabRespPreg15101314161117181921[[#This Row],[Respuestas Pregunta]],tabIdiomas[],MATCH('General Hipotheses (INTRO)'!$D$2,tabIdiomas[#Headers],0),FALSE)</f>
        <v>No</v>
      </c>
      <c r="AM4" t="s">
        <v>12</v>
      </c>
      <c r="AN4" t="str">
        <f>VLOOKUP(tabRespPreg1510131416111718192122[[#This Row],[Respuestas Pregunta]],tabIdiomas[],MATCH('General Hipotheses (INTRO)'!$D$2,tabIdiomas[#Headers],0),FALSE)</f>
        <v>No</v>
      </c>
      <c r="AO4" t="s">
        <v>12</v>
      </c>
      <c r="AP4" t="str">
        <f>VLOOKUP(tabRespPreg151013141611171819212223[[#This Row],[Respuestas Pregunta]],tabIdiomas[],MATCH('General Hipotheses (INTRO)'!$D$2,tabIdiomas[#Headers],0),FALSE)</f>
        <v>No</v>
      </c>
      <c r="AQ4" t="s">
        <v>12</v>
      </c>
      <c r="AR4" t="str">
        <f>VLOOKUP(tabRespPreg15101314161117181921222324[[#This Row],[Respuestas Pregunta]],tabIdiomas[],MATCH('General Hipotheses (INTRO)'!$D$2,tabIdiomas[#Headers],0),FALSE)</f>
        <v>No</v>
      </c>
      <c r="AS4" t="s">
        <v>12</v>
      </c>
      <c r="AT4" t="str">
        <f>VLOOKUP(tabRespPreg1510131416111718192122232425[[#This Row],[Respuestas Pregunta]],tabIdiomas[],MATCH('General Hipotheses (INTRO)'!$D$2,tabIdiomas[#Headers],0),FALSE)</f>
        <v>No</v>
      </c>
      <c r="AU4" t="s">
        <v>541</v>
      </c>
      <c r="AV4" t="str">
        <f>VLOOKUP(tabRespPreg11227[[#This Row],[Respuestas Pregunta]],tabIdiomas[],MATCH('General Hipotheses (INTRO)'!$D$2,tabIdiomas[#Headers],0),FALSE)</f>
        <v>Not Applicable Check</v>
      </c>
      <c r="AW4" t="s">
        <v>12</v>
      </c>
      <c r="AX4" t="str">
        <f>VLOOKUP(tabRespPreg151013141611171819212223242528[[#This Row],[Respuestas Pregunta]],tabIdiomas[],MATCH('General Hipotheses (INTRO)'!$D$2,tabIdiomas[#Headers],0),FALSE)</f>
        <v>No</v>
      </c>
      <c r="AY4" t="s">
        <v>19</v>
      </c>
      <c r="AZ4" t="str">
        <f>VLOOKUP(tabRespPreg1122729[[#This Row],[Respuestas Pregunta]],tabIdiomas[],MATCH('General Hipotheses (INTRO)'!$D$2,tabIdiomas[#Headers],0),FALSE)</f>
        <v>VAT (Reduced Electricity Tax Rate)</v>
      </c>
    </row>
    <row r="5" spans="1:52" x14ac:dyDescent="0.3">
      <c r="A5" t="s">
        <v>42</v>
      </c>
      <c r="B5" t="str">
        <f>VLOOKUP(tabRespPreg1[[#This Row],[Respuestas Pregunta]],tabIdiomas[],MATCH('General Hipotheses (INTRO)'!$D$2,tabIdiomas[#Headers],0),FALSE)</f>
        <v>Other Countries</v>
      </c>
      <c r="E5" t="s">
        <v>71</v>
      </c>
      <c r="F5" t="str">
        <f>VLOOKUP(tabRespPreg24_1[[#This Row],[Respuestas Pregunta]],tabIdiomas[],MATCH('General Hipotheses (INTRO)'!$D$2,tabIdiomas[#Headers],0),FALSE)</f>
        <v>Ourense</v>
      </c>
      <c r="O5" t="s">
        <v>182</v>
      </c>
      <c r="P5" t="str">
        <f>VLOOKUP(tabRespPreg112[[#This Row],[Respuestas Pregunta]],tabIdiomas[],MATCH('General Hipotheses (INTRO)'!$D$2,tabIdiomas[#Headers],0),FALSE)</f>
        <v>Self-Management</v>
      </c>
      <c r="AU5" t="s">
        <v>545</v>
      </c>
      <c r="AV5" t="str">
        <f>VLOOKUP(tabRespPreg11227[[#This Row],[Respuestas Pregunta]],tabIdiomas[],MATCH('General Hipotheses (INTRO)'!$D$2,tabIdiomas[#Headers],0),FALSE)</f>
        <v>Wrong Check</v>
      </c>
      <c r="AY5" t="s">
        <v>20</v>
      </c>
      <c r="AZ5" t="str">
        <f>VLOOKUP(tabRespPreg1122729[[#This Row],[Respuestas Pregunta]],tabIdiomas[],MATCH('General Hipotheses (INTRO)'!$D$2,tabIdiomas[#Headers],0),FALSE)</f>
        <v>VAT (Extra-Reduced Electricity Tax Rate)</v>
      </c>
    </row>
    <row r="6" spans="1:52" x14ac:dyDescent="0.3">
      <c r="E6" t="s">
        <v>3</v>
      </c>
      <c r="F6" t="str">
        <f>VLOOKUP(tabRespPreg24_1[[#This Row],[Respuestas Pregunta]],tabIdiomas[],MATCH('General Hipotheses (INTRO)'!$D$2,tabIdiomas[#Headers],0),FALSE)</f>
        <v>Pontevedra</v>
      </c>
    </row>
  </sheetData>
  <mergeCells count="9">
    <mergeCell ref="AM1:AN1"/>
    <mergeCell ref="AO1:AP1"/>
    <mergeCell ref="AQ1:AR1"/>
    <mergeCell ref="AS1:AT1"/>
    <mergeCell ref="Y1:Z1"/>
    <mergeCell ref="AC1:AD1"/>
    <mergeCell ref="AE1:AF1"/>
    <mergeCell ref="AI1:AJ1"/>
    <mergeCell ref="AK1:AL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67C9-BACE-4120-8187-7AE6C5BDD8C6}">
  <sheetPr>
    <tabColor rgb="FFFFFF00"/>
  </sheetPr>
  <dimension ref="A1:A5"/>
  <sheetViews>
    <sheetView workbookViewId="0">
      <selection activeCell="H11" sqref="H11"/>
    </sheetView>
  </sheetViews>
  <sheetFormatPr baseColWidth="10" defaultColWidth="11.44140625" defaultRowHeight="14.4" x14ac:dyDescent="0.3"/>
  <sheetData>
    <row r="1" spans="1:1" x14ac:dyDescent="0.3">
      <c r="A1" s="221" t="s">
        <v>650</v>
      </c>
    </row>
    <row r="2" spans="1:1" x14ac:dyDescent="0.3">
      <c r="A2" t="str" cm="1">
        <f t="array" ref="A2:A5">_xlfn._xlws.FILTER(TRANSPOSE(_xlfn.UNIQUE(Idiomas!1:1)),(TRANSPOSE(_xlfn.UNIQUE(Idiomas!1:1))&lt;&gt;"")*(TRANSPOSE(_xlfn.UNIQUE(Idiomas!1:1))&lt;&gt;"Cadena"))</f>
        <v>Eestlane</v>
      </c>
    </row>
    <row r="3" spans="1:1" x14ac:dyDescent="0.3">
      <c r="A3" t="str">
        <v>English</v>
      </c>
    </row>
    <row r="4" spans="1:1" x14ac:dyDescent="0.3">
      <c r="A4" t="str">
        <v>Español</v>
      </c>
    </row>
    <row r="5" spans="1:1" x14ac:dyDescent="0.3">
      <c r="A5" t="str">
        <v>Galego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B0A-220E-4BA2-998E-95B166BED333}">
  <dimension ref="B2:J20"/>
  <sheetViews>
    <sheetView topLeftCell="A11" workbookViewId="0">
      <selection activeCell="F72" sqref="F72:AD72"/>
    </sheetView>
  </sheetViews>
  <sheetFormatPr baseColWidth="10" defaultColWidth="10.5546875" defaultRowHeight="14.4" x14ac:dyDescent="0.3"/>
  <cols>
    <col min="2" max="2" width="2.5546875" customWidth="1"/>
    <col min="8" max="8" width="7.5546875" customWidth="1"/>
    <col min="9" max="9" width="7.44140625" customWidth="1"/>
    <col min="10" max="10" width="6.5546875" customWidth="1"/>
  </cols>
  <sheetData>
    <row r="2" spans="2:10" x14ac:dyDescent="0.3">
      <c r="B2" s="391"/>
      <c r="C2" s="391"/>
      <c r="D2" s="391"/>
      <c r="E2" s="391"/>
      <c r="F2" s="391"/>
      <c r="G2" s="391"/>
      <c r="H2" s="391"/>
    </row>
    <row r="3" spans="2:10" x14ac:dyDescent="0.3">
      <c r="B3" s="391"/>
      <c r="C3" s="391"/>
      <c r="D3" s="391"/>
      <c r="E3" s="391"/>
      <c r="F3" s="391"/>
      <c r="G3" s="391"/>
      <c r="H3" s="391"/>
    </row>
    <row r="4" spans="2:10" x14ac:dyDescent="0.3">
      <c r="B4" s="391"/>
      <c r="C4" s="391"/>
      <c r="D4" s="391"/>
      <c r="E4" s="391"/>
      <c r="F4" s="391"/>
      <c r="G4" s="391"/>
      <c r="H4" s="391"/>
    </row>
    <row r="5" spans="2:10" x14ac:dyDescent="0.3">
      <c r="B5" s="391"/>
      <c r="C5" s="391"/>
      <c r="D5" s="391"/>
      <c r="E5" s="391"/>
      <c r="F5" s="391"/>
      <c r="G5" s="391"/>
      <c r="H5" s="391"/>
    </row>
    <row r="6" spans="2:10" x14ac:dyDescent="0.3">
      <c r="B6" s="391"/>
      <c r="C6" s="391"/>
      <c r="D6" s="391"/>
      <c r="E6" s="391"/>
      <c r="F6" s="391"/>
      <c r="G6" s="391"/>
      <c r="H6" s="391"/>
    </row>
    <row r="7" spans="2:10" x14ac:dyDescent="0.3">
      <c r="B7" s="391"/>
      <c r="C7" s="391"/>
      <c r="D7" s="391"/>
      <c r="E7" s="391"/>
      <c r="F7" s="391"/>
      <c r="G7" s="391"/>
      <c r="H7" s="391"/>
    </row>
    <row r="8" spans="2:10" x14ac:dyDescent="0.3">
      <c r="B8" s="391"/>
      <c r="C8" s="391"/>
      <c r="D8" s="391"/>
      <c r="E8" s="391"/>
      <c r="F8" s="391"/>
      <c r="G8" s="391"/>
      <c r="H8" s="391"/>
    </row>
    <row r="9" spans="2:10" x14ac:dyDescent="0.3">
      <c r="B9" s="391"/>
      <c r="C9" s="391"/>
      <c r="D9" s="391"/>
      <c r="E9" s="391"/>
      <c r="F9" s="391"/>
      <c r="G9" s="391"/>
      <c r="H9" s="391"/>
    </row>
    <row r="10" spans="2:10" x14ac:dyDescent="0.3">
      <c r="B10" s="391"/>
      <c r="C10" s="391"/>
      <c r="D10" s="391"/>
      <c r="E10" s="391"/>
      <c r="F10" s="391"/>
      <c r="G10" s="391"/>
      <c r="H10" s="391"/>
    </row>
    <row r="11" spans="2:10" ht="143.1" customHeight="1" x14ac:dyDescent="0.3">
      <c r="B11" s="391"/>
      <c r="C11" s="1945" t="s">
        <v>726</v>
      </c>
      <c r="D11" s="1946"/>
      <c r="E11" s="1946"/>
      <c r="F11" s="1946"/>
      <c r="G11" s="1946"/>
      <c r="H11" s="1946"/>
      <c r="I11" s="1946"/>
      <c r="J11" s="1947"/>
    </row>
    <row r="12" spans="2:10" ht="16.5" customHeight="1" x14ac:dyDescent="0.3">
      <c r="B12" s="391"/>
      <c r="C12" s="391"/>
      <c r="D12" s="391"/>
      <c r="E12" s="391"/>
      <c r="F12" s="391"/>
      <c r="G12" s="391"/>
      <c r="H12" s="391"/>
    </row>
    <row r="13" spans="2:10" ht="18" x14ac:dyDescent="0.3">
      <c r="B13" s="391"/>
      <c r="C13" s="393"/>
      <c r="D13" s="391"/>
      <c r="E13" s="391"/>
      <c r="F13" s="391"/>
      <c r="G13" s="391"/>
      <c r="H13" s="391"/>
    </row>
    <row r="14" spans="2:10" x14ac:dyDescent="0.3">
      <c r="B14" s="391"/>
      <c r="C14" s="391"/>
      <c r="D14" s="391"/>
      <c r="E14" s="391"/>
      <c r="F14" s="391"/>
      <c r="G14" s="391"/>
      <c r="H14" s="391"/>
    </row>
    <row r="15" spans="2:10" x14ac:dyDescent="0.3">
      <c r="B15" s="391"/>
      <c r="C15" s="391"/>
      <c r="D15" s="391"/>
      <c r="E15" s="391"/>
      <c r="F15" s="391"/>
      <c r="G15" s="391"/>
      <c r="H15" s="391"/>
    </row>
    <row r="16" spans="2:10" ht="21" x14ac:dyDescent="0.3">
      <c r="B16" s="391"/>
      <c r="C16" s="392" t="s">
        <v>725</v>
      </c>
      <c r="D16" s="391"/>
      <c r="E16" s="391"/>
      <c r="F16" s="391"/>
      <c r="G16" s="391"/>
      <c r="H16" s="391"/>
    </row>
    <row r="17" spans="2:8" x14ac:dyDescent="0.3">
      <c r="B17" s="391"/>
      <c r="C17" s="391"/>
      <c r="D17" s="391"/>
      <c r="E17" s="391"/>
      <c r="F17" s="391"/>
      <c r="G17" s="391"/>
      <c r="H17" s="391"/>
    </row>
    <row r="18" spans="2:8" x14ac:dyDescent="0.3">
      <c r="B18" s="391"/>
      <c r="C18" s="391"/>
      <c r="D18" s="391"/>
      <c r="E18" s="391"/>
      <c r="F18" s="391"/>
      <c r="G18" s="391"/>
      <c r="H18" s="391"/>
    </row>
    <row r="19" spans="2:8" x14ac:dyDescent="0.3">
      <c r="B19" s="391"/>
      <c r="C19" s="391"/>
      <c r="D19" s="391"/>
      <c r="E19" s="391"/>
      <c r="F19" s="391"/>
      <c r="G19" s="391"/>
      <c r="H19" s="391"/>
    </row>
    <row r="20" spans="2:8" x14ac:dyDescent="0.3">
      <c r="B20" s="391"/>
      <c r="C20" s="391"/>
      <c r="D20" s="391"/>
      <c r="E20" s="391"/>
      <c r="F20" s="391"/>
      <c r="G20" s="391"/>
      <c r="H20" s="391"/>
    </row>
  </sheetData>
  <mergeCells count="1">
    <mergeCell ref="C11:J11"/>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7BA9-F025-4B87-8525-D24AD34B2DDE}">
  <sheetPr>
    <pageSetUpPr fitToPage="1"/>
  </sheetPr>
  <dimension ref="A1:J96"/>
  <sheetViews>
    <sheetView topLeftCell="A57" zoomScaleNormal="100" workbookViewId="0">
      <selection activeCell="C70" sqref="C70"/>
    </sheetView>
  </sheetViews>
  <sheetFormatPr baseColWidth="10" defaultColWidth="11.44140625" defaultRowHeight="14.4" x14ac:dyDescent="0.3"/>
  <cols>
    <col min="2" max="2" width="48.44140625" customWidth="1"/>
    <col min="3" max="3" width="12.5546875" bestFit="1" customWidth="1"/>
    <col min="4" max="4" width="8.5546875" customWidth="1"/>
    <col min="5" max="5" width="33.21875" customWidth="1"/>
    <col min="6" max="6" width="15.5546875" customWidth="1"/>
    <col min="7" max="7" width="33.77734375" customWidth="1"/>
    <col min="8" max="8" width="36.6640625" customWidth="1"/>
    <col min="9" max="9" width="18.33203125" customWidth="1"/>
    <col min="10" max="10" width="36.44140625" customWidth="1"/>
  </cols>
  <sheetData>
    <row r="1" spans="2:7" x14ac:dyDescent="0.3">
      <c r="B1" s="1"/>
      <c r="C1" s="1"/>
      <c r="D1" s="1"/>
      <c r="E1" s="1"/>
      <c r="F1" s="1"/>
    </row>
    <row r="2" spans="2:7" x14ac:dyDescent="0.3">
      <c r="B2" s="1"/>
      <c r="C2" s="1"/>
      <c r="D2" s="1"/>
      <c r="E2" s="1"/>
      <c r="F2" s="1"/>
    </row>
    <row r="3" spans="2:7" x14ac:dyDescent="0.3">
      <c r="B3" s="1"/>
      <c r="C3" s="1"/>
      <c r="D3" s="1"/>
      <c r="E3" s="1"/>
      <c r="F3" s="1"/>
    </row>
    <row r="4" spans="2:7" ht="21" x14ac:dyDescent="0.3">
      <c r="B4" s="2" t="s">
        <v>828</v>
      </c>
      <c r="C4" s="2"/>
      <c r="D4" s="2"/>
      <c r="E4" s="2"/>
    </row>
    <row r="5" spans="2:7" x14ac:dyDescent="0.3">
      <c r="B5" s="1"/>
      <c r="C5" s="1"/>
      <c r="D5" s="1"/>
      <c r="E5" s="1"/>
      <c r="F5" s="1"/>
    </row>
    <row r="6" spans="2:7" x14ac:dyDescent="0.3">
      <c r="B6" s="550" t="s">
        <v>827</v>
      </c>
      <c r="C6" s="1"/>
      <c r="D6" s="1"/>
      <c r="E6" s="1"/>
      <c r="F6" s="1"/>
    </row>
    <row r="7" spans="2:7" x14ac:dyDescent="0.3">
      <c r="B7" s="1"/>
      <c r="C7" s="1"/>
      <c r="D7" s="1"/>
      <c r="E7" s="1"/>
      <c r="F7" s="1"/>
    </row>
    <row r="8" spans="2:7" x14ac:dyDescent="0.3">
      <c r="B8" s="44"/>
      <c r="C8" s="45"/>
      <c r="D8" s="1"/>
      <c r="E8" s="1"/>
      <c r="F8" s="1"/>
    </row>
    <row r="9" spans="2:7" x14ac:dyDescent="0.3">
      <c r="B9" s="44" t="s">
        <v>826</v>
      </c>
      <c r="C9" s="45">
        <v>1</v>
      </c>
      <c r="D9" s="1"/>
      <c r="E9" s="1"/>
      <c r="F9" s="1"/>
    </row>
    <row r="10" spans="2:7" x14ac:dyDescent="0.3">
      <c r="B10" s="549" t="s">
        <v>825</v>
      </c>
      <c r="C10" s="548"/>
      <c r="D10" s="1"/>
      <c r="E10" s="437" t="s">
        <v>111</v>
      </c>
      <c r="F10" s="407"/>
    </row>
    <row r="11" spans="2:7" x14ac:dyDescent="0.3">
      <c r="B11" s="452" t="s">
        <v>824</v>
      </c>
      <c r="C11" s="546">
        <f>'Hipóteses Xerais'!$C$11</f>
        <v>25</v>
      </c>
      <c r="D11" s="1"/>
      <c r="E11" s="452" t="s">
        <v>823</v>
      </c>
      <c r="F11" s="509">
        <f>'Hipóteses Xerais'!$F$11</f>
        <v>0</v>
      </c>
      <c r="G11" t="s">
        <v>822</v>
      </c>
    </row>
    <row r="12" spans="2:7" x14ac:dyDescent="0.3">
      <c r="B12" s="457" t="s">
        <v>821</v>
      </c>
      <c r="C12" s="458">
        <f>'Hipóteses Xerais'!$C$12</f>
        <v>0.21</v>
      </c>
      <c r="D12" s="1"/>
      <c r="E12" s="457" t="s">
        <v>820</v>
      </c>
      <c r="F12" s="456" t="e">
        <f>$F$11*C21</f>
        <v>#N/A</v>
      </c>
    </row>
    <row r="13" spans="2:7" x14ac:dyDescent="0.3">
      <c r="B13" s="457" t="s">
        <v>819</v>
      </c>
      <c r="C13" s="547">
        <f>'Hipóteses Xerais'!$C$13</f>
        <v>3</v>
      </c>
      <c r="D13" s="1"/>
      <c r="E13" s="452" t="s">
        <v>818</v>
      </c>
      <c r="F13" s="546">
        <f>'Hipóteses Xerais'!$F$13</f>
        <v>15</v>
      </c>
    </row>
    <row r="14" spans="2:7" x14ac:dyDescent="0.3">
      <c r="B14" s="452" t="s">
        <v>817</v>
      </c>
      <c r="C14" s="508">
        <f>'Hipóteses Xerais'!$I$16</f>
        <v>150</v>
      </c>
      <c r="D14" s="1"/>
      <c r="E14" s="452" t="s">
        <v>816</v>
      </c>
      <c r="F14" s="544">
        <f>'Hipóteses Xerais'!$F$14</f>
        <v>0</v>
      </c>
    </row>
    <row r="15" spans="2:7" x14ac:dyDescent="0.3">
      <c r="B15" s="457" t="s">
        <v>815</v>
      </c>
      <c r="C15" s="545">
        <f>'Hipóteses Xerais'!$C$16</f>
        <v>0</v>
      </c>
      <c r="D15" s="1"/>
      <c r="E15" s="452" t="s">
        <v>814</v>
      </c>
      <c r="F15" s="544">
        <f>'Hipóteses Xerais'!$F$15</f>
        <v>0</v>
      </c>
    </row>
    <row r="16" spans="2:7" x14ac:dyDescent="0.3">
      <c r="B16" s="452" t="s">
        <v>813</v>
      </c>
      <c r="C16" s="458">
        <f>'Hipóteses Xerais'!$C$14</f>
        <v>0.25</v>
      </c>
      <c r="D16" s="1"/>
      <c r="E16" s="452" t="s">
        <v>812</v>
      </c>
      <c r="F16" s="543">
        <f>'Hipóteses Xerais'!$F$16</f>
        <v>12</v>
      </c>
    </row>
    <row r="17" spans="1:6" x14ac:dyDescent="0.3">
      <c r="B17" s="452" t="s">
        <v>742</v>
      </c>
      <c r="C17" s="542">
        <f>$F$80</f>
        <v>70</v>
      </c>
      <c r="D17" s="1"/>
      <c r="E17" s="452"/>
      <c r="F17" s="538"/>
    </row>
    <row r="18" spans="1:6" x14ac:dyDescent="0.3">
      <c r="B18" s="452" t="s">
        <v>811</v>
      </c>
      <c r="C18" s="541">
        <f>'Hipóteses Xerais'!$I$11</f>
        <v>1000</v>
      </c>
      <c r="D18" s="1"/>
      <c r="E18" s="452"/>
      <c r="F18" s="538"/>
    </row>
    <row r="19" spans="1:6" x14ac:dyDescent="0.3">
      <c r="B19" s="452" t="s">
        <v>810</v>
      </c>
      <c r="C19" s="540" t="e">
        <f>$C$76+$C$79+$C$89</f>
        <v>#N/A</v>
      </c>
      <c r="D19" s="1"/>
      <c r="E19" s="452"/>
      <c r="F19" s="538"/>
    </row>
    <row r="20" spans="1:6" ht="27.6" x14ac:dyDescent="0.3">
      <c r="A20" s="3">
        <f>150/30000</f>
        <v>5.0000000000000001E-3</v>
      </c>
      <c r="B20" s="539" t="s">
        <v>171</v>
      </c>
      <c r="C20" s="458">
        <f>'Hipóteses Xerais'!$I$15</f>
        <v>0.01</v>
      </c>
      <c r="E20" s="452"/>
      <c r="F20" s="538"/>
    </row>
    <row r="21" spans="1:6" x14ac:dyDescent="0.3">
      <c r="B21" s="525" t="s">
        <v>809</v>
      </c>
      <c r="C21" s="537" t="e">
        <f>$C$19+$C$74-$C$89</f>
        <v>#N/A</v>
      </c>
      <c r="D21" s="1"/>
      <c r="E21" s="457" t="s">
        <v>808</v>
      </c>
      <c r="F21" s="509">
        <f>'Hipóteses Xerais'!$F$18</f>
        <v>3.6859999999999997E-2</v>
      </c>
    </row>
    <row r="22" spans="1:6" x14ac:dyDescent="0.3">
      <c r="B22" s="536" t="s">
        <v>273</v>
      </c>
      <c r="C22" s="535">
        <f>'Hipóteses Xerais'!$C$20</f>
        <v>100</v>
      </c>
      <c r="D22" s="1"/>
      <c r="E22" s="457"/>
      <c r="F22" s="529"/>
    </row>
    <row r="23" spans="1:6" x14ac:dyDescent="0.3">
      <c r="B23" s="518" t="s">
        <v>289</v>
      </c>
      <c r="C23" s="499">
        <f>'Hipóteses Xerais'!$C$21</f>
        <v>1</v>
      </c>
      <c r="D23" s="1"/>
      <c r="E23" s="457"/>
      <c r="F23" s="529"/>
    </row>
    <row r="24" spans="1:6" x14ac:dyDescent="0.3">
      <c r="B24" s="518" t="s">
        <v>293</v>
      </c>
      <c r="C24" s="499">
        <f>'Hipóteses Xerais'!$C$22</f>
        <v>0.5</v>
      </c>
      <c r="D24" s="1"/>
      <c r="E24" s="457"/>
      <c r="F24" s="529"/>
    </row>
    <row r="25" spans="1:6" x14ac:dyDescent="0.3">
      <c r="B25" s="518" t="s">
        <v>297</v>
      </c>
      <c r="C25" s="499">
        <f>'Hipóteses Xerais'!$C$23</f>
        <v>0.75</v>
      </c>
      <c r="D25" s="1"/>
      <c r="E25" s="457"/>
      <c r="F25" s="529"/>
    </row>
    <row r="26" spans="1:6" x14ac:dyDescent="0.3">
      <c r="B26" s="518" t="s">
        <v>807</v>
      </c>
      <c r="C26" s="534" t="e">
        <f>$I$47</f>
        <v>#N/A</v>
      </c>
      <c r="D26" s="1"/>
      <c r="E26" s="457"/>
      <c r="F26" s="529"/>
    </row>
    <row r="27" spans="1:6" x14ac:dyDescent="0.3">
      <c r="B27" s="518" t="s">
        <v>806</v>
      </c>
      <c r="C27" s="534" t="e">
        <f>IF($E$74="Compensación",(1-C26),0%)</f>
        <v>#N/A</v>
      </c>
      <c r="D27" s="1"/>
      <c r="E27" s="457"/>
      <c r="F27" s="529"/>
    </row>
    <row r="28" spans="1:6" x14ac:dyDescent="0.3">
      <c r="B28" s="533" t="s">
        <v>805</v>
      </c>
      <c r="C28" s="532" t="e">
        <f>IF(E74="Venda",(1-C26),0%)</f>
        <v>#N/A</v>
      </c>
      <c r="D28" s="1"/>
      <c r="E28" s="457"/>
      <c r="F28" s="529"/>
    </row>
    <row r="29" spans="1:6" ht="27.6" x14ac:dyDescent="0.3">
      <c r="B29" s="531" t="s">
        <v>804</v>
      </c>
      <c r="C29" s="530" t="e">
        <f>IF($E$70="Si",100%,(IF(E70="Non",$C$71,"ERRO na introdución de datos")))</f>
        <v>#N/A</v>
      </c>
      <c r="D29" s="1"/>
      <c r="E29" s="457"/>
      <c r="F29" s="529"/>
    </row>
    <row r="30" spans="1:6" x14ac:dyDescent="0.3">
      <c r="B30" s="528" t="s">
        <v>803</v>
      </c>
      <c r="C30" s="527">
        <f>'Hipóteses Xerais'!$I$26</f>
        <v>3.2000000000000001E-2</v>
      </c>
      <c r="D30" s="1"/>
      <c r="E30" s="457" t="s">
        <v>802</v>
      </c>
      <c r="F30" s="509">
        <f>'Hipóteses Xerais'!$F$19</f>
        <v>0.03</v>
      </c>
    </row>
    <row r="31" spans="1:6" x14ac:dyDescent="0.3">
      <c r="B31" s="457" t="s">
        <v>801</v>
      </c>
      <c r="C31" s="496">
        <f>'Hipóteses Xerais'!$I$28</f>
        <v>3.1E-2</v>
      </c>
      <c r="D31" s="1"/>
      <c r="E31" s="457" t="s">
        <v>800</v>
      </c>
      <c r="F31" s="519">
        <f>F21+F30</f>
        <v>6.6860000000000003E-2</v>
      </c>
    </row>
    <row r="32" spans="1:6" x14ac:dyDescent="0.3">
      <c r="B32" s="457" t="s">
        <v>773</v>
      </c>
      <c r="C32" s="489">
        <f>(2.06+1.8+1.41+1.24+0.66+0.36)/600</f>
        <v>1.2550000000000002E-2</v>
      </c>
      <c r="D32" s="1"/>
      <c r="E32" s="457" t="s">
        <v>799</v>
      </c>
      <c r="F32" s="526">
        <f>'Hipóteses Xerais'!$F$20</f>
        <v>3.0000000000000001E-3</v>
      </c>
    </row>
    <row r="33" spans="1:10" x14ac:dyDescent="0.3">
      <c r="B33" s="525" t="s">
        <v>771</v>
      </c>
      <c r="C33" s="524">
        <f>C32+2%</f>
        <v>3.2550000000000003E-2</v>
      </c>
      <c r="D33" s="1"/>
      <c r="E33" s="457"/>
      <c r="F33" s="523"/>
    </row>
    <row r="34" spans="1:10" x14ac:dyDescent="0.3">
      <c r="A34" s="522">
        <f>(4853/2.35)</f>
        <v>2065.1063829787231</v>
      </c>
      <c r="B34" s="521" t="s">
        <v>798</v>
      </c>
      <c r="C34" s="520">
        <v>1700</v>
      </c>
      <c r="D34" s="1">
        <f>365*24</f>
        <v>8760</v>
      </c>
      <c r="E34" s="452" t="s">
        <v>797</v>
      </c>
      <c r="F34" s="519">
        <f>1-F11</f>
        <v>1</v>
      </c>
    </row>
    <row r="35" spans="1:10" x14ac:dyDescent="0.3">
      <c r="B35" s="518" t="s">
        <v>796</v>
      </c>
      <c r="C35" s="517" t="e" cm="1">
        <f t="array" ref="C35">IF($F$91="Galicia",IF($H$83="Automática (Só Galicia)",(_xlfn.IFS($F$48=$E$86,($C$17*$F$86/1000),$F$48=$E$85,($C$17*$F$85/1000),$F$48=$E$84,($C$17*$F$84/1000),$F$48=$E$83,($C$17*$F$83/1000))),($C$17*$H$86/1000)),($C$17*$H$86/1000))</f>
        <v>#N/A</v>
      </c>
      <c r="D35" s="516">
        <f>C34/D34*100</f>
        <v>19.406392694063925</v>
      </c>
      <c r="E35" s="452" t="s">
        <v>795</v>
      </c>
      <c r="F35" s="515" t="e">
        <f>F34*C21</f>
        <v>#N/A</v>
      </c>
    </row>
    <row r="36" spans="1:10" ht="27.6" x14ac:dyDescent="0.3">
      <c r="B36" s="514" t="s">
        <v>99</v>
      </c>
      <c r="C36" s="513" t="e">
        <f>'Hipóteses Xerais'!$C$15</f>
        <v>#N/A</v>
      </c>
      <c r="D36" s="1"/>
      <c r="E36" s="503"/>
      <c r="F36" s="512"/>
    </row>
    <row r="37" spans="1:10" x14ac:dyDescent="0.3">
      <c r="B37" s="1"/>
      <c r="C37" s="1"/>
      <c r="D37" s="1"/>
      <c r="E37" s="1"/>
      <c r="F37" s="511"/>
    </row>
    <row r="38" spans="1:10" x14ac:dyDescent="0.3">
      <c r="B38" s="437" t="s">
        <v>366</v>
      </c>
      <c r="C38" s="437"/>
      <c r="D38" s="1"/>
      <c r="E38" s="437" t="s">
        <v>794</v>
      </c>
      <c r="F38" s="437"/>
      <c r="H38" s="437" t="s">
        <v>229</v>
      </c>
      <c r="I38" s="437"/>
      <c r="J38" s="437" t="s">
        <v>233</v>
      </c>
    </row>
    <row r="39" spans="1:10" s="4" customFormat="1" x14ac:dyDescent="0.3">
      <c r="B39" s="457" t="s">
        <v>793</v>
      </c>
      <c r="C39" s="489">
        <v>0.02</v>
      </c>
      <c r="D39" s="5"/>
      <c r="E39" s="452" t="s">
        <v>792</v>
      </c>
      <c r="F39" s="510" t="e">
        <f>$I$41</f>
        <v>#N/A</v>
      </c>
      <c r="H39" s="452" t="s">
        <v>791</v>
      </c>
      <c r="I39" s="507" t="e">
        <f>ROUNDUP((J39*$I$53),0)</f>
        <v>#N/A</v>
      </c>
      <c r="J39" s="509">
        <f>'Hipóteses Xerais'!$F$27</f>
        <v>0.6</v>
      </c>
    </row>
    <row r="40" spans="1:10" s="4" customFormat="1" x14ac:dyDescent="0.3">
      <c r="B40" s="457" t="s">
        <v>790</v>
      </c>
      <c r="C40" s="496">
        <f>'Hipóteses Xerais'!$I$24</f>
        <v>3.1E-2</v>
      </c>
      <c r="D40" s="5"/>
      <c r="E40" s="452" t="s">
        <v>243</v>
      </c>
      <c r="F40" s="508">
        <f>'Hipóteses Xerais'!$F$30</f>
        <v>0</v>
      </c>
      <c r="H40" s="452" t="s">
        <v>789</v>
      </c>
      <c r="I40" s="507" t="e">
        <f>ROUNDDOWN((J40*$I$53),0)</f>
        <v>#N/A</v>
      </c>
      <c r="J40" s="506">
        <f>100%-J39</f>
        <v>0.4</v>
      </c>
    </row>
    <row r="41" spans="1:10" x14ac:dyDescent="0.3">
      <c r="B41" s="457" t="s">
        <v>788</v>
      </c>
      <c r="C41" s="496">
        <f>'Hipóteses Xerais'!$I$25</f>
        <v>1.6E-2</v>
      </c>
      <c r="D41" s="1"/>
      <c r="E41" s="452" t="s">
        <v>787</v>
      </c>
      <c r="F41" s="456" t="e">
        <f>IF($C$96="Si",'Conta explotación'!$D$97,'Conta explotación'!$D$83)</f>
        <v>#N/A</v>
      </c>
      <c r="H41" s="452" t="s">
        <v>786</v>
      </c>
      <c r="I41" s="36" t="e">
        <f>SUM(I39:I40)</f>
        <v>#N/A</v>
      </c>
    </row>
    <row r="42" spans="1:10" x14ac:dyDescent="0.3">
      <c r="B42" s="457" t="s">
        <v>785</v>
      </c>
      <c r="C42" s="496">
        <f>'Hipóteses Xerais'!$I$27</f>
        <v>3.2000000000000001E-2</v>
      </c>
      <c r="D42" s="1"/>
      <c r="E42" s="452" t="s">
        <v>247</v>
      </c>
      <c r="F42" s="505">
        <f>'Hipóteses Xerais'!$F$31</f>
        <v>0</v>
      </c>
      <c r="H42" s="503" t="s">
        <v>784</v>
      </c>
      <c r="I42" s="504" t="e">
        <f>I39/I41</f>
        <v>#N/A</v>
      </c>
      <c r="J42" s="38"/>
    </row>
    <row r="43" spans="1:10" s="4" customFormat="1" x14ac:dyDescent="0.3">
      <c r="B43" s="457" t="s">
        <v>783</v>
      </c>
      <c r="C43" s="489" t="e">
        <f>'Conta explotación'!F20/'Conta explotación'!F40</f>
        <v>#N/A</v>
      </c>
      <c r="D43" s="5"/>
      <c r="H43" s="503" t="s">
        <v>782</v>
      </c>
      <c r="I43" s="502" t="e">
        <f>I40/I41</f>
        <v>#N/A</v>
      </c>
    </row>
    <row r="44" spans="1:10" s="4" customFormat="1" ht="27.6" x14ac:dyDescent="0.3">
      <c r="B44" s="457" t="s">
        <v>781</v>
      </c>
      <c r="C44" s="489" t="e">
        <f>('Estim. Gastos'!$F$50+'Estim. Gastos'!$F$51)/'Conta explotación'!$F$40</f>
        <v>#N/A</v>
      </c>
      <c r="D44" s="5"/>
      <c r="H44" s="434" t="s">
        <v>321</v>
      </c>
      <c r="I44" s="501">
        <f>'Hipóteses Xerais'!$C$28</f>
        <v>0.5</v>
      </c>
    </row>
    <row r="45" spans="1:10" ht="27.6" x14ac:dyDescent="0.3">
      <c r="B45" s="457" t="s">
        <v>780</v>
      </c>
      <c r="C45" s="489" t="e">
        <f>100%-C43-C44</f>
        <v>#N/A</v>
      </c>
      <c r="D45" s="1"/>
      <c r="G45" s="4"/>
      <c r="H45" s="500" t="s">
        <v>325</v>
      </c>
      <c r="I45" s="499">
        <f>'Hipóteses Xerais'!$C$29</f>
        <v>0.4</v>
      </c>
    </row>
    <row r="46" spans="1:10" ht="28.2" thickBot="1" x14ac:dyDescent="0.35">
      <c r="B46" s="457" t="s">
        <v>779</v>
      </c>
      <c r="C46" s="489">
        <v>0.02</v>
      </c>
      <c r="D46" s="1"/>
      <c r="E46" s="437" t="s">
        <v>778</v>
      </c>
      <c r="F46" s="437"/>
      <c r="G46" s="4"/>
      <c r="H46" s="498" t="s">
        <v>329</v>
      </c>
      <c r="I46" s="497">
        <f>'Hipóteses Xerais'!$C$30</f>
        <v>0.3</v>
      </c>
    </row>
    <row r="47" spans="1:10" ht="15" thickBot="1" x14ac:dyDescent="0.35">
      <c r="A47" t="s">
        <v>777</v>
      </c>
      <c r="B47" s="457" t="s">
        <v>776</v>
      </c>
      <c r="C47" s="496">
        <f>'Hipóteses Xerais'!$I$28</f>
        <v>3.1E-2</v>
      </c>
      <c r="D47" s="1"/>
      <c r="E47" s="457" t="s">
        <v>60</v>
      </c>
      <c r="F47" s="495" t="str">
        <f>'Hipóteses Xerais'!$F$5</f>
        <v>Galicia</v>
      </c>
      <c r="G47" s="4"/>
      <c r="H47" s="494" t="s">
        <v>775</v>
      </c>
      <c r="I47" s="493" t="e">
        <f>IF(ABS(I42-I43)&lt;=20%,I44,(IF(ABS(I42-I43)&lt;=40%,I45,I46)))</f>
        <v>#N/A</v>
      </c>
    </row>
    <row r="48" spans="1:10" x14ac:dyDescent="0.3">
      <c r="B48" s="457" t="s">
        <v>774</v>
      </c>
      <c r="C48" s="489">
        <v>0.02</v>
      </c>
      <c r="D48" s="1"/>
      <c r="E48" s="457" t="s">
        <v>50</v>
      </c>
      <c r="F48" s="492" t="str">
        <f>'Hipóteses Xerais'!$F$6</f>
        <v>Pontevedra</v>
      </c>
      <c r="H48" s="491"/>
      <c r="I48" s="490"/>
    </row>
    <row r="49" spans="2:10" x14ac:dyDescent="0.3">
      <c r="B49" s="457" t="s">
        <v>773</v>
      </c>
      <c r="C49" s="489">
        <f>C32</f>
        <v>1.2550000000000002E-2</v>
      </c>
      <c r="D49" s="1"/>
      <c r="E49" s="457" t="s">
        <v>63</v>
      </c>
      <c r="F49" s="488" t="str">
        <f>'Hipóteses Xerais'!$F$7</f>
        <v>******</v>
      </c>
      <c r="H49" s="437" t="s">
        <v>772</v>
      </c>
      <c r="I49" s="407"/>
    </row>
    <row r="50" spans="2:10" ht="27.6" x14ac:dyDescent="0.3">
      <c r="B50" s="457" t="s">
        <v>771</v>
      </c>
      <c r="C50" s="489">
        <f>C49+2%</f>
        <v>3.2550000000000003E-2</v>
      </c>
      <c r="D50" s="1"/>
      <c r="E50" s="457" t="s">
        <v>66</v>
      </c>
      <c r="F50" s="488" t="str">
        <f>'Hipóteses Xerais'!$F$8</f>
        <v>******</v>
      </c>
      <c r="H50" s="418" t="s">
        <v>770</v>
      </c>
      <c r="I50" s="487" t="e">
        <f>$C$35*1000</f>
        <v>#N/A</v>
      </c>
    </row>
    <row r="51" spans="2:10" ht="28.8" x14ac:dyDescent="0.3">
      <c r="D51" s="1"/>
      <c r="E51" s="1"/>
      <c r="F51" s="1"/>
      <c r="H51" s="486" t="s">
        <v>769</v>
      </c>
      <c r="I51" s="485" t="e">
        <f>I50/$C$70</f>
        <v>#N/A</v>
      </c>
    </row>
    <row r="52" spans="2:10" ht="29.4" thickBot="1" x14ac:dyDescent="0.35">
      <c r="B52" s="484" t="s">
        <v>768</v>
      </c>
      <c r="C52" s="483" t="s">
        <v>767</v>
      </c>
      <c r="D52" s="483" t="s">
        <v>766</v>
      </c>
      <c r="E52" s="483" t="s">
        <v>555</v>
      </c>
      <c r="F52" s="483" t="s">
        <v>558</v>
      </c>
      <c r="G52" s="213" t="s">
        <v>765</v>
      </c>
      <c r="H52" s="482" t="s">
        <v>764</v>
      </c>
      <c r="I52" s="481" t="e">
        <f>IF($J$83="Automática (Só Galicia)",'Est. Consumo Eléctrico Medio'!$C$21,(IF($J$83="Manual",$J$86*12,"ERRO")))</f>
        <v>#N/A</v>
      </c>
    </row>
    <row r="53" spans="2:10" ht="15" thickBot="1" x14ac:dyDescent="0.35">
      <c r="B53" s="480" t="s">
        <v>510</v>
      </c>
      <c r="C53" s="478">
        <f>'Hipóteses Gastos'!C65</f>
        <v>0</v>
      </c>
      <c r="D53" s="479">
        <f>'Hipóteses Gastos'!D65</f>
        <v>0</v>
      </c>
      <c r="E53" s="478" t="e">
        <f>IF('Hipóteses Gastos'!G65="Si",'Hipóteses Gastos'!E65,0)</f>
        <v>#N/A</v>
      </c>
      <c r="F53" s="478">
        <f>'Hipóteses Gastos'!F65</f>
        <v>0</v>
      </c>
      <c r="G53" s="477" t="e">
        <f>E53-F53</f>
        <v>#N/A</v>
      </c>
      <c r="H53" s="424" t="s">
        <v>763</v>
      </c>
      <c r="I53" s="476" t="e">
        <f>ROUNDDOWN(I51/I52,0)</f>
        <v>#N/A</v>
      </c>
    </row>
    <row r="54" spans="2:10" x14ac:dyDescent="0.3">
      <c r="B54" s="475" t="s">
        <v>513</v>
      </c>
      <c r="C54" s="473">
        <f>'Hipóteses Gastos'!C66</f>
        <v>0</v>
      </c>
      <c r="D54" s="474">
        <f>'Hipóteses Gastos'!D66</f>
        <v>0</v>
      </c>
      <c r="E54" s="473" t="e">
        <f>IF('Hipóteses Gastos'!G66="Si",'Hipóteses Gastos'!E66,0)</f>
        <v>#N/A</v>
      </c>
      <c r="F54" s="473">
        <f>'Hipóteses Gastos'!F66</f>
        <v>0</v>
      </c>
      <c r="G54" s="472" t="e">
        <f>E54-F54</f>
        <v>#N/A</v>
      </c>
    </row>
    <row r="55" spans="2:10" ht="15" thickBot="1" x14ac:dyDescent="0.35">
      <c r="B55" s="471" t="s">
        <v>516</v>
      </c>
      <c r="C55" s="469">
        <f>'Hipóteses Gastos'!C67</f>
        <v>0</v>
      </c>
      <c r="D55" s="470">
        <f>'Hipóteses Gastos'!D67</f>
        <v>0</v>
      </c>
      <c r="E55" s="469" t="e">
        <f>IF('Hipóteses Gastos'!G67="Si",'Hipóteses Gastos'!E67,0)</f>
        <v>#N/A</v>
      </c>
      <c r="F55" s="469">
        <f>'Hipóteses Gastos'!F67</f>
        <v>0</v>
      </c>
      <c r="G55" s="468" t="e">
        <f>E55-F55</f>
        <v>#N/A</v>
      </c>
    </row>
    <row r="56" spans="2:10" ht="15" thickBot="1" x14ac:dyDescent="0.35">
      <c r="B56" s="467" t="s">
        <v>519</v>
      </c>
      <c r="C56" s="465">
        <f>'Hipóteses Gastos'!C68</f>
        <v>0</v>
      </c>
      <c r="D56" s="466">
        <f>'Hipóteses Gastos'!D68</f>
        <v>0</v>
      </c>
      <c r="E56" s="465" t="e">
        <f>IF('Hipóteses Gastos'!G68="Si",'Hipóteses Gastos'!E68,0)</f>
        <v>#N/A</v>
      </c>
      <c r="F56" s="465">
        <f>'Hipóteses Gastos'!F68</f>
        <v>0</v>
      </c>
      <c r="G56" s="464" t="e">
        <f>E56-F56</f>
        <v>#N/A</v>
      </c>
    </row>
    <row r="57" spans="2:10" ht="23.55" customHeight="1" thickTop="1" thickBot="1" x14ac:dyDescent="0.35">
      <c r="B57" s="463" t="s">
        <v>762</v>
      </c>
      <c r="C57" s="462"/>
      <c r="D57" s="461"/>
      <c r="E57" s="460" t="e">
        <f>SUM(E53:E56)</f>
        <v>#N/A</v>
      </c>
      <c r="F57" s="460">
        <f>SUM(F53:F56)</f>
        <v>0</v>
      </c>
      <c r="G57" s="459" t="e">
        <f>SUM(G53:G56)</f>
        <v>#N/A</v>
      </c>
      <c r="J57" s="6"/>
    </row>
    <row r="58" spans="2:10" ht="15" thickTop="1" x14ac:dyDescent="0.3">
      <c r="D58" s="1"/>
      <c r="E58" s="1"/>
      <c r="F58" s="1"/>
    </row>
    <row r="59" spans="2:10" ht="15" thickBot="1" x14ac:dyDescent="0.35">
      <c r="D59" s="1"/>
      <c r="E59" s="1"/>
      <c r="F59" s="1"/>
    </row>
    <row r="60" spans="2:10" x14ac:dyDescent="0.3">
      <c r="B60" s="437" t="s">
        <v>218</v>
      </c>
      <c r="C60" s="407"/>
      <c r="D60" s="1"/>
      <c r="E60" s="441" t="s">
        <v>761</v>
      </c>
      <c r="F60" s="1"/>
      <c r="G60" s="454" t="s">
        <v>760</v>
      </c>
      <c r="H60" s="447"/>
    </row>
    <row r="61" spans="2:10" ht="15" thickBot="1" x14ac:dyDescent="0.35">
      <c r="B61" s="452" t="s">
        <v>759</v>
      </c>
      <c r="C61" s="458">
        <f>'Hipóteses Xerais'!$F$24</f>
        <v>0.6</v>
      </c>
      <c r="D61" s="1"/>
      <c r="E61" s="440" t="e">
        <f>'Hipóteses Gastos'!$F$17</f>
        <v>#N/A</v>
      </c>
      <c r="F61" s="1"/>
      <c r="G61" s="1948" t="e">
        <f>'Hipóteses Xerais'!$I$12</f>
        <v>#N/A</v>
      </c>
      <c r="H61" s="1949"/>
    </row>
    <row r="62" spans="2:10" ht="15" thickBot="1" x14ac:dyDescent="0.35">
      <c r="B62" s="457" t="s">
        <v>758</v>
      </c>
      <c r="C62" s="456">
        <f>$C$61*$C$17*$C$18</f>
        <v>42000</v>
      </c>
      <c r="D62" s="1"/>
      <c r="E62" s="1"/>
      <c r="F62" s="1"/>
    </row>
    <row r="63" spans="2:10" x14ac:dyDescent="0.3">
      <c r="B63" s="452" t="str">
        <f>B11</f>
        <v>Prazo da instalación (anos)</v>
      </c>
      <c r="C63" s="455">
        <f>$C$11</f>
        <v>25</v>
      </c>
      <c r="D63" s="1"/>
      <c r="E63" s="441" t="s">
        <v>221</v>
      </c>
      <c r="F63" s="1"/>
      <c r="G63" s="454" t="s">
        <v>431</v>
      </c>
      <c r="H63" s="447"/>
    </row>
    <row r="64" spans="2:10" ht="15" thickBot="1" x14ac:dyDescent="0.35">
      <c r="B64" s="452" t="s">
        <v>757</v>
      </c>
      <c r="C64" s="453" t="s">
        <v>756</v>
      </c>
      <c r="D64" s="1"/>
      <c r="E64" s="440" t="e">
        <f>'Hipóteses Xerais'!$F$23</f>
        <v>#N/A</v>
      </c>
      <c r="G64" s="1950" t="e">
        <f>'Hipóteses Gastos'!$F$42</f>
        <v>#N/A</v>
      </c>
      <c r="H64" s="1949"/>
    </row>
    <row r="65" spans="2:8" ht="15" thickBot="1" x14ac:dyDescent="0.35">
      <c r="B65" s="452" t="s">
        <v>755</v>
      </c>
      <c r="C65" s="451">
        <f>$C$62/$C$63</f>
        <v>1680</v>
      </c>
      <c r="D65" s="1"/>
    </row>
    <row r="66" spans="2:8" x14ac:dyDescent="0.3">
      <c r="D66" s="1"/>
      <c r="E66" s="441" t="s">
        <v>754</v>
      </c>
      <c r="G66" s="450" t="s">
        <v>753</v>
      </c>
      <c r="H66" s="449"/>
    </row>
    <row r="67" spans="2:8" ht="15" thickBot="1" x14ac:dyDescent="0.35">
      <c r="C67" s="1"/>
      <c r="D67" s="1"/>
      <c r="E67" s="440" t="e">
        <f>'Hipóteses Gastos'!$F$5</f>
        <v>#N/A</v>
      </c>
      <c r="G67" s="1951">
        <f>'Hipóteses Xerais'!$I$13</f>
        <v>800</v>
      </c>
      <c r="H67" s="1952"/>
    </row>
    <row r="68" spans="2:8" ht="15" thickBot="1" x14ac:dyDescent="0.35">
      <c r="D68" s="1"/>
    </row>
    <row r="69" spans="2:8" x14ac:dyDescent="0.3">
      <c r="B69" s="437" t="s">
        <v>752</v>
      </c>
      <c r="C69" s="407"/>
      <c r="E69" s="441" t="s">
        <v>313</v>
      </c>
      <c r="G69" s="448" t="s">
        <v>751</v>
      </c>
      <c r="H69" s="447"/>
    </row>
    <row r="70" spans="2:8" ht="15" thickBot="1" x14ac:dyDescent="0.35">
      <c r="B70" s="446" t="s">
        <v>309</v>
      </c>
      <c r="C70" s="445">
        <f>'Hipóteses Xerais'!$C$25</f>
        <v>1</v>
      </c>
      <c r="E70" s="440" t="e">
        <f>'Hipóteses Xerais'!$C$26</f>
        <v>#N/A</v>
      </c>
      <c r="G70" s="1948" t="e">
        <f>'Hipóteses Xerais'!$I$14</f>
        <v>#N/A</v>
      </c>
      <c r="H70" s="1949"/>
    </row>
    <row r="71" spans="2:8" ht="42" thickBot="1" x14ac:dyDescent="0.35">
      <c r="B71" s="444" t="s">
        <v>317</v>
      </c>
      <c r="C71" s="443">
        <f>'Hipóteses Xerais'!$C$27</f>
        <v>0.75</v>
      </c>
      <c r="D71" s="1"/>
    </row>
    <row r="72" spans="2:8" ht="55.8" thickBot="1" x14ac:dyDescent="0.35">
      <c r="D72" s="7"/>
      <c r="G72" s="442" t="s">
        <v>495</v>
      </c>
    </row>
    <row r="73" spans="2:8" ht="15" thickBot="1" x14ac:dyDescent="0.35">
      <c r="B73" s="437" t="s">
        <v>750</v>
      </c>
      <c r="C73" s="407"/>
      <c r="D73" s="7"/>
      <c r="E73" s="441" t="s">
        <v>301</v>
      </c>
      <c r="G73" s="440" t="e">
        <f>'Hipóteses Gastos'!$B$54</f>
        <v>#N/A</v>
      </c>
    </row>
    <row r="74" spans="2:8" ht="28.2" thickBot="1" x14ac:dyDescent="0.35">
      <c r="B74" s="400" t="s">
        <v>749</v>
      </c>
      <c r="C74" s="399" t="e">
        <f>IF($G$70="Proporcional",($C$20*($C$18*$C$17)),$C$14)</f>
        <v>#N/A</v>
      </c>
      <c r="D74" s="7"/>
      <c r="E74" s="440" t="e">
        <f>'Hipóteses Xerais'!$C$24</f>
        <v>#N/A</v>
      </c>
    </row>
    <row r="75" spans="2:8" x14ac:dyDescent="0.3">
      <c r="B75" s="436" t="s">
        <v>204</v>
      </c>
      <c r="C75" s="439">
        <f>'Hipóteses Xerais'!$I$19</f>
        <v>0.2</v>
      </c>
      <c r="D75" s="1"/>
    </row>
    <row r="76" spans="2:8" x14ac:dyDescent="0.3">
      <c r="B76" s="431" t="s">
        <v>748</v>
      </c>
      <c r="C76" s="430">
        <f>$C$75*($C$17*$C$18)</f>
        <v>14000</v>
      </c>
    </row>
    <row r="77" spans="2:8" x14ac:dyDescent="0.3">
      <c r="B77" s="426" t="s">
        <v>208</v>
      </c>
      <c r="C77" s="438">
        <f>'Hipóteses Xerais'!$I$20</f>
        <v>15</v>
      </c>
      <c r="E77" s="437" t="s">
        <v>747</v>
      </c>
      <c r="F77" s="407"/>
      <c r="G77" s="437"/>
    </row>
    <row r="78" spans="2:8" x14ac:dyDescent="0.3">
      <c r="B78" s="436" t="s">
        <v>746</v>
      </c>
      <c r="C78" s="435">
        <f>100%-$C$75</f>
        <v>0.8</v>
      </c>
      <c r="E78" s="434" t="s">
        <v>76</v>
      </c>
      <c r="F78" s="433">
        <f>'Hipóteses Xerais'!$I$5</f>
        <v>400</v>
      </c>
      <c r="G78" s="432" t="s">
        <v>80</v>
      </c>
    </row>
    <row r="79" spans="2:8" ht="15" thickBot="1" x14ac:dyDescent="0.35">
      <c r="B79" s="431" t="s">
        <v>745</v>
      </c>
      <c r="C79" s="430" t="e">
        <f>IF(G61="Non",($C$78*($C$17*$C$18)),($C$78*($C$17*$C$18))+$G$67)</f>
        <v>#N/A</v>
      </c>
      <c r="E79" s="429" t="s">
        <v>744</v>
      </c>
      <c r="F79" s="428">
        <f>100/500</f>
        <v>0.2</v>
      </c>
      <c r="G79" s="427">
        <f>'Hipóteses Xerais'!$I$6</f>
        <v>50</v>
      </c>
    </row>
    <row r="80" spans="2:8" ht="15" thickBot="1" x14ac:dyDescent="0.35">
      <c r="B80" s="426" t="s">
        <v>743</v>
      </c>
      <c r="C80" s="425">
        <f>$C$11</f>
        <v>25</v>
      </c>
      <c r="E80" s="424" t="s">
        <v>742</v>
      </c>
      <c r="F80" s="423">
        <f>(F78-G79)*F79</f>
        <v>70</v>
      </c>
    </row>
    <row r="81" spans="2:10" x14ac:dyDescent="0.3">
      <c r="B81" s="422" t="s">
        <v>741</v>
      </c>
      <c r="C81" s="417">
        <f>$C$76/$C$77</f>
        <v>933.33333333333337</v>
      </c>
    </row>
    <row r="82" spans="2:10" ht="27.6" x14ac:dyDescent="0.3">
      <c r="B82" s="400" t="s">
        <v>740</v>
      </c>
      <c r="C82" s="421" t="e">
        <f>$C$79/$C$80</f>
        <v>#N/A</v>
      </c>
      <c r="E82" s="213" t="s">
        <v>739</v>
      </c>
      <c r="F82" s="420" t="s">
        <v>738</v>
      </c>
      <c r="H82" s="213" t="s">
        <v>458</v>
      </c>
      <c r="J82" s="419" t="s">
        <v>462</v>
      </c>
    </row>
    <row r="83" spans="2:10" ht="15" thickBot="1" x14ac:dyDescent="0.35">
      <c r="B83" s="418" t="s">
        <v>737</v>
      </c>
      <c r="C83" s="417" t="e">
        <f>$C$74/$C$11</f>
        <v>#N/A</v>
      </c>
      <c r="E83" s="402" t="s">
        <v>69</v>
      </c>
      <c r="F83" s="416">
        <v>1099</v>
      </c>
      <c r="H83" s="415" t="e">
        <f>'Hipóteses Xerais'!$B$37</f>
        <v>#N/A</v>
      </c>
      <c r="J83" s="414" t="e">
        <f>'Hipóteses Xerais'!$E$37</f>
        <v>#N/A</v>
      </c>
    </row>
    <row r="84" spans="2:10" ht="15.6" thickTop="1" thickBot="1" x14ac:dyDescent="0.35">
      <c r="B84" s="413" t="s">
        <v>736</v>
      </c>
      <c r="C84" s="412" t="e">
        <f>C81+C82+C83</f>
        <v>#N/A</v>
      </c>
      <c r="E84" s="410" t="s">
        <v>70</v>
      </c>
      <c r="F84" s="409">
        <v>1152</v>
      </c>
      <c r="J84" s="411"/>
    </row>
    <row r="85" spans="2:10" ht="28.8" thickTop="1" thickBot="1" x14ac:dyDescent="0.35">
      <c r="B85" s="19"/>
      <c r="E85" s="410" t="s">
        <v>71</v>
      </c>
      <c r="F85" s="409">
        <v>1225</v>
      </c>
      <c r="H85" s="213" t="s">
        <v>471</v>
      </c>
      <c r="J85" s="408" t="s">
        <v>735</v>
      </c>
    </row>
    <row r="86" spans="2:10" ht="28.8" thickTop="1" thickBot="1" x14ac:dyDescent="0.35">
      <c r="B86" s="213" t="s">
        <v>734</v>
      </c>
      <c r="C86" s="407"/>
      <c r="E86" s="406" t="s">
        <v>3</v>
      </c>
      <c r="F86" s="405">
        <v>1276</v>
      </c>
      <c r="H86" s="404" t="e">
        <f>IF(H83="Automática (Só Galicia)", "Non Aplicable", IF(H83="Manual",'Hipóteses Xerais'!$B$40, "ERRO"))</f>
        <v>#N/A</v>
      </c>
      <c r="J86" s="403" t="e">
        <f>IF($J$83="Automática (Só Galicia)", "Non Aplicable", IF(H83="Manual", 'Hipóteses Xerais'!$E$40, "ERRO"))</f>
        <v>#N/A</v>
      </c>
    </row>
    <row r="87" spans="2:10" ht="15" thickTop="1" x14ac:dyDescent="0.3">
      <c r="B87" s="400" t="s">
        <v>733</v>
      </c>
      <c r="C87" s="399">
        <f>$C$76</f>
        <v>14000</v>
      </c>
    </row>
    <row r="88" spans="2:10" x14ac:dyDescent="0.3">
      <c r="B88" s="402" t="s">
        <v>732</v>
      </c>
      <c r="C88" s="401">
        <f>ROUNDDOWN(($C$63/$C$77),0)</f>
        <v>1</v>
      </c>
    </row>
    <row r="89" spans="2:10" ht="15" thickBot="1" x14ac:dyDescent="0.35">
      <c r="B89" s="400" t="s">
        <v>731</v>
      </c>
      <c r="C89" s="399">
        <f>C87*C88</f>
        <v>14000</v>
      </c>
    </row>
    <row r="90" spans="2:10" ht="42.6" thickTop="1" thickBot="1" x14ac:dyDescent="0.35">
      <c r="E90" s="127" t="s">
        <v>32</v>
      </c>
      <c r="F90" s="66"/>
      <c r="H90" s="214" t="s">
        <v>730</v>
      </c>
      <c r="I90" s="216" t="s">
        <v>526</v>
      </c>
    </row>
    <row r="91" spans="2:10" ht="15" thickTop="1" x14ac:dyDescent="0.3">
      <c r="B91" s="213" t="s">
        <v>729</v>
      </c>
      <c r="C91" s="398" t="e">
        <f>(C76+C79+C74)+C89</f>
        <v>#N/A</v>
      </c>
      <c r="E91" s="93" t="s">
        <v>36</v>
      </c>
      <c r="F91" s="397" t="str">
        <f>'Hipóteses Xerais'!$C$6</f>
        <v>Galicia</v>
      </c>
      <c r="H91" s="120" t="s">
        <v>728</v>
      </c>
      <c r="I91" s="217" t="str">
        <f>'Hipóteses Xerais'!$C$44</f>
        <v>Verificación Non Aplicable</v>
      </c>
    </row>
    <row r="92" spans="2:10" ht="28.2" thickBot="1" x14ac:dyDescent="0.35">
      <c r="E92" s="93" t="s">
        <v>46</v>
      </c>
      <c r="F92" s="239" t="str">
        <f>'Hipóteses Xerais'!C7</f>
        <v>******</v>
      </c>
      <c r="H92" s="396" t="s">
        <v>727</v>
      </c>
      <c r="I92" s="395" t="str">
        <f>'Hipóteses Xerais'!$C$45</f>
        <v>Verificación Non Aplicable</v>
      </c>
    </row>
    <row r="93" spans="2:10" ht="15.6" thickTop="1" thickBot="1" x14ac:dyDescent="0.35">
      <c r="E93" s="101" t="s">
        <v>53</v>
      </c>
      <c r="F93" s="240" t="str">
        <f>'Hipóteses Xerais'!C8</f>
        <v>******</v>
      </c>
    </row>
    <row r="94" spans="2:10" ht="15.6" thickTop="1" thickBot="1" x14ac:dyDescent="0.35">
      <c r="B94" s="213" t="s">
        <v>498</v>
      </c>
      <c r="C94" s="394" t="e">
        <f>'Hipóteses Gastos'!$B$57</f>
        <v>#N/A</v>
      </c>
    </row>
    <row r="95" spans="2:10" ht="15" thickBot="1" x14ac:dyDescent="0.35"/>
    <row r="96" spans="2:10" ht="15" thickBot="1" x14ac:dyDescent="0.35">
      <c r="B96" s="213" t="s">
        <v>251</v>
      </c>
      <c r="C96" s="394" t="e">
        <f>'Hipóteses Xerais'!$F$32</f>
        <v>#N/A</v>
      </c>
    </row>
  </sheetData>
  <mergeCells count="4">
    <mergeCell ref="G61:H61"/>
    <mergeCell ref="G64:H64"/>
    <mergeCell ref="G67:H67"/>
    <mergeCell ref="G70:H70"/>
  </mergeCells>
  <conditionalFormatting sqref="I91:I92">
    <cfRule type="cellIs" dxfId="6" priority="1" operator="equal">
      <formula>"Verificación Correcta"</formula>
    </cfRule>
    <cfRule type="cellIs" dxfId="5" priority="2" operator="equal">
      <formula>"Verificación Errónea"</formula>
    </cfRule>
    <cfRule type="cellIs" dxfId="4" priority="3" operator="equal">
      <formula>"Verificación Non Aplicable"</formula>
    </cfRule>
  </conditionalFormatting>
  <dataValidations count="9">
    <dataValidation type="list" allowBlank="1" showDropDown="1" showInputMessage="1" showErrorMessage="1" sqref="H83 J83" xr:uid="{EBD3D7EC-02D3-4FCF-A133-BC10EF53695F}">
      <formula1>"Automática (Só Galicia), Manual"</formula1>
    </dataValidation>
    <dataValidation type="list" allowBlank="1" showDropDown="1" showInputMessage="1" showErrorMessage="1" sqref="F91" xr:uid="{536A2994-37F6-4564-BF0E-EA0491B14F5C}">
      <formula1>"Galicia, Resto de España, Estranxeiro"</formula1>
    </dataValidation>
    <dataValidation type="list" allowBlank="1" showDropDown="1" showInputMessage="1" showErrorMessage="1" sqref="G70:H70" xr:uid="{0F034A1D-FD64-4FC7-B79A-C6FF119206B5}">
      <formula1>"Fixo,Proporcional"</formula1>
    </dataValidation>
    <dataValidation type="decimal" allowBlank="1" showInputMessage="1" showErrorMessage="1" sqref="G67:H67" xr:uid="{A4447F2E-DE4A-4DBB-B7BA-8C0A84BF509E}">
      <formula1>0</formula1>
      <formula2>100000</formula2>
    </dataValidation>
    <dataValidation type="list" allowBlank="1" showDropDown="1" showInputMessage="1" showErrorMessage="1" sqref="E61" xr:uid="{DB656872-E66E-4174-8701-D336B3887DF4}">
      <formula1>"Persoal Propio,Subcontratación,Auto-explotación"</formula1>
    </dataValidation>
    <dataValidation type="list" allowBlank="1" showInputMessage="1" showErrorMessage="1" sqref="F48" xr:uid="{72A50C29-DC1E-4882-BE27-5DEE52E5BE03}">
      <formula1>$E$83:$E$86</formula1>
    </dataValidation>
    <dataValidation type="list" allowBlank="1" showDropDown="1" showInputMessage="1" showErrorMessage="1" sqref="E74" xr:uid="{0A68D81D-FE5F-474C-B119-50E2BDCC464E}">
      <formula1>"Compensación,Venda"</formula1>
    </dataValidation>
    <dataValidation type="list" allowBlank="1" showDropDown="1" showInputMessage="1" showErrorMessage="1" sqref="C96 C36 E64 E67 E70 G61:H61 G64:H64 G73 C94" xr:uid="{69196374-B5A2-4679-8509-FF63EFF9BABD}">
      <formula1>"Si,Non"</formula1>
    </dataValidation>
    <dataValidation type="whole" allowBlank="1" showInputMessage="1" showErrorMessage="1" errorTitle="NUMERO DE MESES NO VALIDO" error="El número de meses indicado no tiene sentido" promptTitle="EL NUMERO DE MES ENTRE 1 y 12" sqref="F16:F20 F63 C67:C68" xr:uid="{00000000-0002-0000-0100-000000000000}">
      <formula1>1</formula1>
      <formula2>12</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F370C-1503-4585-A797-E3A9D6B3B2A8}">
  <dimension ref="B2:H18"/>
  <sheetViews>
    <sheetView workbookViewId="0">
      <selection activeCell="F72" sqref="F72:AD72"/>
    </sheetView>
  </sheetViews>
  <sheetFormatPr baseColWidth="10" defaultColWidth="11.44140625" defaultRowHeight="14.4" x14ac:dyDescent="0.3"/>
  <cols>
    <col min="2" max="2" width="38.5546875" bestFit="1" customWidth="1"/>
  </cols>
  <sheetData>
    <row r="2" spans="2:8" ht="15.6" x14ac:dyDescent="0.3">
      <c r="B2" s="573" t="s">
        <v>835</v>
      </c>
    </row>
    <row r="3" spans="2:8" ht="15" thickBot="1" x14ac:dyDescent="0.35"/>
    <row r="4" spans="2:8" ht="15" thickTop="1" x14ac:dyDescent="0.3">
      <c r="B4" s="572"/>
      <c r="C4" s="1953"/>
      <c r="D4" s="1954"/>
      <c r="E4" s="1953"/>
      <c r="F4" s="1954"/>
      <c r="G4" s="1953"/>
      <c r="H4" s="1954"/>
    </row>
    <row r="5" spans="2:8" ht="15" thickBot="1" x14ac:dyDescent="0.35">
      <c r="B5" s="572"/>
      <c r="C5" s="569"/>
      <c r="D5" s="568"/>
      <c r="E5" s="571"/>
      <c r="F5" s="570"/>
      <c r="G5" s="569"/>
      <c r="H5" s="568"/>
    </row>
    <row r="6" spans="2:8" ht="15" thickTop="1" x14ac:dyDescent="0.3">
      <c r="B6" s="567">
        <v>2025</v>
      </c>
      <c r="C6" s="566"/>
      <c r="D6" s="564"/>
      <c r="E6" s="565"/>
      <c r="F6" s="564"/>
      <c r="G6" s="565">
        <v>0</v>
      </c>
      <c r="H6" s="564">
        <v>0</v>
      </c>
    </row>
    <row r="7" spans="2:8" x14ac:dyDescent="0.3">
      <c r="B7" s="563" t="s">
        <v>834</v>
      </c>
      <c r="C7" s="562"/>
      <c r="D7" s="560"/>
      <c r="E7" s="561"/>
      <c r="F7" s="560"/>
      <c r="G7" s="561">
        <v>0</v>
      </c>
      <c r="H7" s="560">
        <v>0</v>
      </c>
    </row>
    <row r="8" spans="2:8" ht="15" thickBot="1" x14ac:dyDescent="0.35">
      <c r="B8" s="558" t="s">
        <v>833</v>
      </c>
      <c r="C8" s="557"/>
      <c r="D8" s="556"/>
      <c r="E8" s="559"/>
      <c r="F8" s="556"/>
      <c r="G8" s="559">
        <v>0</v>
      </c>
      <c r="H8" s="556">
        <v>0</v>
      </c>
    </row>
    <row r="9" spans="2:8" ht="15.6" thickTop="1" thickBot="1" x14ac:dyDescent="0.35">
      <c r="B9" s="558" t="s">
        <v>832</v>
      </c>
      <c r="C9" s="557"/>
      <c r="D9" s="556"/>
      <c r="E9" s="557"/>
      <c r="F9" s="556"/>
      <c r="G9" s="557">
        <f>(G6+4*G7+G8*20)/25</f>
        <v>0</v>
      </c>
      <c r="H9" s="556">
        <f>(H6+4*H7+H8*20)/25</f>
        <v>0</v>
      </c>
    </row>
    <row r="10" spans="2:8" ht="15" thickTop="1" x14ac:dyDescent="0.3"/>
    <row r="12" spans="2:8" ht="15" thickBot="1" x14ac:dyDescent="0.35"/>
    <row r="13" spans="2:8" ht="15" thickTop="1" x14ac:dyDescent="0.3">
      <c r="B13" s="555" t="s">
        <v>831</v>
      </c>
      <c r="C13" s="554">
        <v>0.02</v>
      </c>
    </row>
    <row r="14" spans="2:8" x14ac:dyDescent="0.3">
      <c r="B14" s="166" t="s">
        <v>830</v>
      </c>
      <c r="C14" s="553">
        <v>0.02</v>
      </c>
    </row>
    <row r="15" spans="2:8" x14ac:dyDescent="0.3">
      <c r="B15" s="166" t="s">
        <v>829</v>
      </c>
      <c r="C15" s="553">
        <v>0.02</v>
      </c>
    </row>
    <row r="16" spans="2:8" x14ac:dyDescent="0.3">
      <c r="B16" s="166" t="s">
        <v>773</v>
      </c>
      <c r="C16" s="553">
        <f>'Hipóteses xerais (2)'!C49</f>
        <v>1.2550000000000002E-2</v>
      </c>
    </row>
    <row r="17" spans="2:3" ht="15" thickBot="1" x14ac:dyDescent="0.35">
      <c r="B17" s="552" t="s">
        <v>771</v>
      </c>
      <c r="C17" s="551">
        <f>C16+2%</f>
        <v>3.2550000000000003E-2</v>
      </c>
    </row>
    <row r="18" spans="2:3" ht="15" thickTop="1" x14ac:dyDescent="0.3"/>
  </sheetData>
  <mergeCells count="3">
    <mergeCell ref="C4:D4"/>
    <mergeCell ref="E4:F4"/>
    <mergeCell ref="G4:H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F2F1E-227C-4D55-B2E1-CAF6E0B969F6}">
  <dimension ref="A1:C25"/>
  <sheetViews>
    <sheetView topLeftCell="A9" workbookViewId="0">
      <selection activeCell="C21" sqref="C21"/>
    </sheetView>
  </sheetViews>
  <sheetFormatPr baseColWidth="10" defaultRowHeight="14.4" x14ac:dyDescent="0.3"/>
  <cols>
    <col min="1" max="1" width="64.44140625" bestFit="1" customWidth="1"/>
    <col min="2" max="2" width="11.77734375" bestFit="1" customWidth="1"/>
    <col min="3" max="3" width="12.5546875" bestFit="1" customWidth="1"/>
  </cols>
  <sheetData>
    <row r="1" spans="1:3" ht="15" thickBot="1" x14ac:dyDescent="0.35"/>
    <row r="2" spans="1:3" ht="15" thickBot="1" x14ac:dyDescent="0.35">
      <c r="A2" s="1670" t="s">
        <v>1673</v>
      </c>
    </row>
    <row r="5" spans="1:3" x14ac:dyDescent="0.3">
      <c r="A5" s="1671" t="s">
        <v>1674</v>
      </c>
      <c r="B5" s="1671" t="s">
        <v>1675</v>
      </c>
      <c r="C5" s="1672" t="s">
        <v>1676</v>
      </c>
    </row>
    <row r="6" spans="1:3" x14ac:dyDescent="0.3">
      <c r="A6" s="1673" t="s">
        <v>1677</v>
      </c>
      <c r="B6" s="1674">
        <f>C6/12</f>
        <v>876.75</v>
      </c>
      <c r="C6" s="1675">
        <v>10521</v>
      </c>
    </row>
    <row r="7" spans="1:3" x14ac:dyDescent="0.3">
      <c r="A7" s="1676" t="s">
        <v>1678</v>
      </c>
      <c r="B7" s="1677">
        <v>0.35099999999999998</v>
      </c>
      <c r="C7" s="1677">
        <v>0.35099999999999998</v>
      </c>
    </row>
    <row r="8" spans="1:3" ht="28.8" x14ac:dyDescent="0.3">
      <c r="A8" s="1678" t="s">
        <v>1679</v>
      </c>
      <c r="B8" s="1280">
        <f>B6*B7</f>
        <v>307.73924999999997</v>
      </c>
      <c r="C8" s="1679">
        <f>C6*C7</f>
        <v>3692.8709999999996</v>
      </c>
    </row>
    <row r="10" spans="1:3" x14ac:dyDescent="0.3">
      <c r="A10" s="1680" t="s">
        <v>1680</v>
      </c>
      <c r="B10" s="1671" t="s">
        <v>1675</v>
      </c>
      <c r="C10" s="1672" t="s">
        <v>1676</v>
      </c>
    </row>
    <row r="11" spans="1:3" x14ac:dyDescent="0.3">
      <c r="A11" s="1673" t="s">
        <v>1677</v>
      </c>
      <c r="B11" s="1674">
        <f>C11/12</f>
        <v>860.91666666666663</v>
      </c>
      <c r="C11" s="1675">
        <v>10331</v>
      </c>
    </row>
    <row r="12" spans="1:3" x14ac:dyDescent="0.3">
      <c r="A12" s="1676" t="s">
        <v>1681</v>
      </c>
      <c r="B12" s="1677">
        <f>7814736/((47267/0.0036)+7814736)</f>
        <v>0.37311712325451835</v>
      </c>
      <c r="C12" s="1677">
        <f>7814736/((47267/0.0036)+7814736)</f>
        <v>0.37311712325451835</v>
      </c>
    </row>
    <row r="13" spans="1:3" ht="28.8" x14ac:dyDescent="0.3">
      <c r="A13" s="1678" t="s">
        <v>1682</v>
      </c>
      <c r="B13" s="1681">
        <f>B11*B12</f>
        <v>321.22275002853576</v>
      </c>
      <c r="C13" s="1679">
        <f>C11*C12</f>
        <v>3854.6730003424291</v>
      </c>
    </row>
    <row r="16" spans="1:3" x14ac:dyDescent="0.3">
      <c r="A16" s="1680" t="s">
        <v>1683</v>
      </c>
      <c r="B16" s="1671">
        <v>2010</v>
      </c>
      <c r="C16" s="1672">
        <v>2022</v>
      </c>
    </row>
    <row r="17" spans="1:3" ht="43.2" x14ac:dyDescent="0.3">
      <c r="A17" s="1271" t="s">
        <v>1684</v>
      </c>
      <c r="B17" s="1682">
        <v>21049</v>
      </c>
      <c r="C17" s="1682">
        <v>19292</v>
      </c>
    </row>
    <row r="18" spans="1:3" x14ac:dyDescent="0.3">
      <c r="A18" s="1683" t="s">
        <v>1685</v>
      </c>
      <c r="B18" s="1684"/>
      <c r="C18" s="1685">
        <f>C17/B17</f>
        <v>0.91652810109743932</v>
      </c>
    </row>
    <row r="20" spans="1:3" x14ac:dyDescent="0.3">
      <c r="B20" s="1671" t="s">
        <v>1675</v>
      </c>
      <c r="C20" s="1672" t="s">
        <v>1676</v>
      </c>
    </row>
    <row r="21" spans="1:3" ht="28.8" x14ac:dyDescent="0.3">
      <c r="A21" s="1686" t="s">
        <v>1686</v>
      </c>
      <c r="B21" s="1687">
        <f>B13*$C$18</f>
        <v>294.40967711295127</v>
      </c>
      <c r="C21" s="1280">
        <f>C13*$C$18</f>
        <v>3532.9161253554157</v>
      </c>
    </row>
    <row r="23" spans="1:3" ht="15" thickBot="1" x14ac:dyDescent="0.35"/>
    <row r="24" spans="1:3" ht="15" thickBot="1" x14ac:dyDescent="0.35">
      <c r="B24" s="811" t="s">
        <v>1675</v>
      </c>
      <c r="C24" s="1688" t="s">
        <v>1676</v>
      </c>
    </row>
    <row r="25" spans="1:3" ht="15" thickBot="1" x14ac:dyDescent="0.35">
      <c r="A25" s="1689" t="s">
        <v>1687</v>
      </c>
      <c r="B25" s="1690">
        <f>B21*25</f>
        <v>7360.2419278237821</v>
      </c>
      <c r="C25" s="1691">
        <f>C21*25</f>
        <v>88322.903133885397</v>
      </c>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2735-1133-4A23-8298-C235D6D6551F}">
  <dimension ref="A2:F27"/>
  <sheetViews>
    <sheetView topLeftCell="A3" workbookViewId="0">
      <selection activeCell="E11" sqref="E11"/>
    </sheetView>
  </sheetViews>
  <sheetFormatPr baseColWidth="10" defaultColWidth="11.44140625" defaultRowHeight="14.4" x14ac:dyDescent="0.3"/>
  <cols>
    <col min="1" max="1" width="11" bestFit="1" customWidth="1"/>
    <col min="2" max="5" width="11.5546875" bestFit="1" customWidth="1"/>
    <col min="6" max="6" width="11" bestFit="1" customWidth="1"/>
  </cols>
  <sheetData>
    <row r="2" spans="1:6" ht="15.6" x14ac:dyDescent="0.3">
      <c r="A2" s="573" t="s">
        <v>847</v>
      </c>
    </row>
    <row r="3" spans="1:6" ht="15" thickBot="1" x14ac:dyDescent="0.35">
      <c r="A3" s="618"/>
      <c r="B3" s="617"/>
      <c r="C3" s="617"/>
      <c r="D3" s="617"/>
      <c r="E3" s="617"/>
      <c r="F3" s="616"/>
    </row>
    <row r="4" spans="1:6" ht="15" thickTop="1" x14ac:dyDescent="0.3">
      <c r="A4" s="615"/>
      <c r="B4" s="614" t="s">
        <v>846</v>
      </c>
      <c r="C4" s="613">
        <f>'Hipóteses xerais (2)'!$F$32</f>
        <v>3.0000000000000001E-3</v>
      </c>
      <c r="D4" s="612">
        <f>E11*C4</f>
        <v>0</v>
      </c>
      <c r="E4" s="611"/>
      <c r="F4" s="610"/>
    </row>
    <row r="5" spans="1:6" x14ac:dyDescent="0.3">
      <c r="A5" s="599"/>
      <c r="B5" s="609"/>
      <c r="C5" s="605"/>
      <c r="D5" s="608"/>
      <c r="E5" s="607" t="s">
        <v>845</v>
      </c>
      <c r="F5" s="600">
        <f>'Hipóteses xerais (2)'!$F$13</f>
        <v>15</v>
      </c>
    </row>
    <row r="6" spans="1:6" x14ac:dyDescent="0.3">
      <c r="A6" s="599"/>
      <c r="B6" s="606"/>
      <c r="C6" s="605"/>
      <c r="D6" s="596"/>
      <c r="E6" s="604" t="s">
        <v>844</v>
      </c>
      <c r="F6" s="600">
        <f>'Hipóteses xerais (2)'!$F$14</f>
        <v>0</v>
      </c>
    </row>
    <row r="7" spans="1:6" x14ac:dyDescent="0.3">
      <c r="A7" s="599"/>
      <c r="B7" s="603" t="s">
        <v>843</v>
      </c>
      <c r="C7" s="602">
        <f>'Hipóteses xerais (2)'!$F$31</f>
        <v>6.6860000000000003E-2</v>
      </c>
      <c r="D7" s="596"/>
      <c r="E7" s="601" t="s">
        <v>842</v>
      </c>
      <c r="F7" s="600">
        <v>15</v>
      </c>
    </row>
    <row r="8" spans="1:6" x14ac:dyDescent="0.3">
      <c r="A8" s="599"/>
      <c r="B8" s="598"/>
      <c r="C8" s="597"/>
      <c r="D8" s="596"/>
      <c r="E8" s="595"/>
      <c r="F8" s="582"/>
    </row>
    <row r="9" spans="1:6" x14ac:dyDescent="0.3">
      <c r="A9" s="594" t="s">
        <v>841</v>
      </c>
      <c r="B9" s="593">
        <f>SUM(B12:B191)</f>
        <v>0</v>
      </c>
      <c r="C9" s="593">
        <f>SUM(C12:C227)</f>
        <v>0</v>
      </c>
      <c r="D9" s="593">
        <f>SUM(D12:D227)</f>
        <v>0</v>
      </c>
      <c r="E9" s="593"/>
      <c r="F9" s="592"/>
    </row>
    <row r="10" spans="1:6" ht="43.2" x14ac:dyDescent="0.3">
      <c r="A10" s="591" t="s">
        <v>840</v>
      </c>
      <c r="B10" s="589" t="s">
        <v>839</v>
      </c>
      <c r="C10" s="589" t="s">
        <v>838</v>
      </c>
      <c r="D10" s="590" t="s">
        <v>837</v>
      </c>
      <c r="E10" s="589" t="s">
        <v>836</v>
      </c>
      <c r="F10" s="588"/>
    </row>
    <row r="11" spans="1:6" x14ac:dyDescent="0.3">
      <c r="A11" s="587">
        <v>15</v>
      </c>
      <c r="B11" s="584">
        <f>PMT(C11,A11,-E11)</f>
        <v>0</v>
      </c>
      <c r="C11" s="586">
        <f>C7</f>
        <v>6.6860000000000003E-2</v>
      </c>
      <c r="D11" s="585"/>
      <c r="E11" s="584">
        <f>'General Real Data (Obs.)'!D210</f>
        <v>0</v>
      </c>
      <c r="F11" s="583"/>
    </row>
    <row r="12" spans="1:6" x14ac:dyDescent="0.3">
      <c r="A12" s="581">
        <v>1</v>
      </c>
      <c r="B12" s="580">
        <f t="shared" ref="B12:B26" si="0">PMT($C$11,$A$11,-$E$11)</f>
        <v>0</v>
      </c>
      <c r="C12" s="580">
        <f t="shared" ref="C12:C26" si="1">E11*$C$11</f>
        <v>0</v>
      </c>
      <c r="D12" s="580">
        <f t="shared" ref="D12:D26" si="2">B12-C12</f>
        <v>0</v>
      </c>
      <c r="E12" s="579">
        <f t="shared" ref="E12:E26" si="3">E11-D12</f>
        <v>0</v>
      </c>
      <c r="F12" s="582"/>
    </row>
    <row r="13" spans="1:6" x14ac:dyDescent="0.3">
      <c r="A13" s="581">
        <v>2</v>
      </c>
      <c r="B13" s="580">
        <f t="shared" si="0"/>
        <v>0</v>
      </c>
      <c r="C13" s="580">
        <f t="shared" si="1"/>
        <v>0</v>
      </c>
      <c r="D13" s="580">
        <f t="shared" si="2"/>
        <v>0</v>
      </c>
      <c r="E13" s="579">
        <f t="shared" si="3"/>
        <v>0</v>
      </c>
      <c r="F13" s="582"/>
    </row>
    <row r="14" spans="1:6" x14ac:dyDescent="0.3">
      <c r="A14" s="581">
        <v>3</v>
      </c>
      <c r="B14" s="580">
        <f t="shared" si="0"/>
        <v>0</v>
      </c>
      <c r="C14" s="580">
        <f t="shared" si="1"/>
        <v>0</v>
      </c>
      <c r="D14" s="580">
        <f t="shared" si="2"/>
        <v>0</v>
      </c>
      <c r="E14" s="579">
        <f t="shared" si="3"/>
        <v>0</v>
      </c>
      <c r="F14" s="582"/>
    </row>
    <row r="15" spans="1:6" x14ac:dyDescent="0.3">
      <c r="A15" s="581">
        <v>4</v>
      </c>
      <c r="B15" s="580">
        <f t="shared" si="0"/>
        <v>0</v>
      </c>
      <c r="C15" s="580">
        <f t="shared" si="1"/>
        <v>0</v>
      </c>
      <c r="D15" s="580">
        <f t="shared" si="2"/>
        <v>0</v>
      </c>
      <c r="E15" s="579">
        <f t="shared" si="3"/>
        <v>0</v>
      </c>
      <c r="F15" s="578"/>
    </row>
    <row r="16" spans="1:6" x14ac:dyDescent="0.3">
      <c r="A16" s="581">
        <v>5</v>
      </c>
      <c r="B16" s="580">
        <f t="shared" si="0"/>
        <v>0</v>
      </c>
      <c r="C16" s="580">
        <f t="shared" si="1"/>
        <v>0</v>
      </c>
      <c r="D16" s="580">
        <f t="shared" si="2"/>
        <v>0</v>
      </c>
      <c r="E16" s="579">
        <f t="shared" si="3"/>
        <v>0</v>
      </c>
      <c r="F16" s="578"/>
    </row>
    <row r="17" spans="1:6" x14ac:dyDescent="0.3">
      <c r="A17" s="581">
        <v>6</v>
      </c>
      <c r="B17" s="580">
        <f t="shared" si="0"/>
        <v>0</v>
      </c>
      <c r="C17" s="580">
        <f t="shared" si="1"/>
        <v>0</v>
      </c>
      <c r="D17" s="580">
        <f t="shared" si="2"/>
        <v>0</v>
      </c>
      <c r="E17" s="579">
        <f t="shared" si="3"/>
        <v>0</v>
      </c>
      <c r="F17" s="578"/>
    </row>
    <row r="18" spans="1:6" x14ac:dyDescent="0.3">
      <c r="A18" s="581">
        <v>7</v>
      </c>
      <c r="B18" s="580">
        <f t="shared" si="0"/>
        <v>0</v>
      </c>
      <c r="C18" s="580">
        <f t="shared" si="1"/>
        <v>0</v>
      </c>
      <c r="D18" s="580">
        <f t="shared" si="2"/>
        <v>0</v>
      </c>
      <c r="E18" s="579">
        <f t="shared" si="3"/>
        <v>0</v>
      </c>
      <c r="F18" s="578"/>
    </row>
    <row r="19" spans="1:6" x14ac:dyDescent="0.3">
      <c r="A19" s="581">
        <v>8</v>
      </c>
      <c r="B19" s="580">
        <f t="shared" si="0"/>
        <v>0</v>
      </c>
      <c r="C19" s="580">
        <f t="shared" si="1"/>
        <v>0</v>
      </c>
      <c r="D19" s="580">
        <f t="shared" si="2"/>
        <v>0</v>
      </c>
      <c r="E19" s="579">
        <f t="shared" si="3"/>
        <v>0</v>
      </c>
      <c r="F19" s="578"/>
    </row>
    <row r="20" spans="1:6" x14ac:dyDescent="0.3">
      <c r="A20" s="581">
        <v>9</v>
      </c>
      <c r="B20" s="580">
        <f t="shared" si="0"/>
        <v>0</v>
      </c>
      <c r="C20" s="580">
        <f t="shared" si="1"/>
        <v>0</v>
      </c>
      <c r="D20" s="580">
        <f t="shared" si="2"/>
        <v>0</v>
      </c>
      <c r="E20" s="579">
        <f t="shared" si="3"/>
        <v>0</v>
      </c>
      <c r="F20" s="578"/>
    </row>
    <row r="21" spans="1:6" x14ac:dyDescent="0.3">
      <c r="A21" s="581">
        <v>10</v>
      </c>
      <c r="B21" s="580">
        <f t="shared" si="0"/>
        <v>0</v>
      </c>
      <c r="C21" s="580">
        <f t="shared" si="1"/>
        <v>0</v>
      </c>
      <c r="D21" s="580">
        <f t="shared" si="2"/>
        <v>0</v>
      </c>
      <c r="E21" s="579">
        <f t="shared" si="3"/>
        <v>0</v>
      </c>
      <c r="F21" s="578"/>
    </row>
    <row r="22" spans="1:6" x14ac:dyDescent="0.3">
      <c r="A22" s="581">
        <v>11</v>
      </c>
      <c r="B22" s="580">
        <f t="shared" si="0"/>
        <v>0</v>
      </c>
      <c r="C22" s="580">
        <f t="shared" si="1"/>
        <v>0</v>
      </c>
      <c r="D22" s="580">
        <f t="shared" si="2"/>
        <v>0</v>
      </c>
      <c r="E22" s="579">
        <f t="shared" si="3"/>
        <v>0</v>
      </c>
      <c r="F22" s="578"/>
    </row>
    <row r="23" spans="1:6" x14ac:dyDescent="0.3">
      <c r="A23" s="581">
        <v>12</v>
      </c>
      <c r="B23" s="580">
        <f t="shared" si="0"/>
        <v>0</v>
      </c>
      <c r="C23" s="580">
        <f t="shared" si="1"/>
        <v>0</v>
      </c>
      <c r="D23" s="580">
        <f t="shared" si="2"/>
        <v>0</v>
      </c>
      <c r="E23" s="579">
        <f t="shared" si="3"/>
        <v>0</v>
      </c>
      <c r="F23" s="578"/>
    </row>
    <row r="24" spans="1:6" x14ac:dyDescent="0.3">
      <c r="A24" s="581">
        <v>13</v>
      </c>
      <c r="B24" s="580">
        <f t="shared" si="0"/>
        <v>0</v>
      </c>
      <c r="C24" s="580">
        <f t="shared" si="1"/>
        <v>0</v>
      </c>
      <c r="D24" s="580">
        <f t="shared" si="2"/>
        <v>0</v>
      </c>
      <c r="E24" s="579">
        <f t="shared" si="3"/>
        <v>0</v>
      </c>
      <c r="F24" s="578"/>
    </row>
    <row r="25" spans="1:6" x14ac:dyDescent="0.3">
      <c r="A25" s="581">
        <v>14</v>
      </c>
      <c r="B25" s="580">
        <f t="shared" si="0"/>
        <v>0</v>
      </c>
      <c r="C25" s="580">
        <f t="shared" si="1"/>
        <v>0</v>
      </c>
      <c r="D25" s="580">
        <f t="shared" si="2"/>
        <v>0</v>
      </c>
      <c r="E25" s="579">
        <f t="shared" si="3"/>
        <v>0</v>
      </c>
      <c r="F25" s="578"/>
    </row>
    <row r="26" spans="1:6" ht="15" thickBot="1" x14ac:dyDescent="0.35">
      <c r="A26" s="577">
        <v>15</v>
      </c>
      <c r="B26" s="576">
        <f t="shared" si="0"/>
        <v>0</v>
      </c>
      <c r="C26" s="576">
        <f t="shared" si="1"/>
        <v>0</v>
      </c>
      <c r="D26" s="576">
        <f t="shared" si="2"/>
        <v>0</v>
      </c>
      <c r="E26" s="575">
        <f t="shared" si="3"/>
        <v>0</v>
      </c>
      <c r="F26" s="574"/>
    </row>
    <row r="27" spans="1:6" ht="15" thickTop="1" x14ac:dyDescent="0.3"/>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81892-1AEE-4792-AB8A-BD8CA4411EB9}">
  <dimension ref="B2:J15"/>
  <sheetViews>
    <sheetView topLeftCell="A6" workbookViewId="0">
      <selection activeCell="F72" sqref="F72:AD72"/>
    </sheetView>
  </sheetViews>
  <sheetFormatPr baseColWidth="10" defaultColWidth="11.44140625" defaultRowHeight="14.4" x14ac:dyDescent="0.3"/>
  <cols>
    <col min="2" max="2" width="5.5546875" customWidth="1"/>
  </cols>
  <sheetData>
    <row r="2" spans="2:10" x14ac:dyDescent="0.3">
      <c r="B2" s="391"/>
      <c r="C2" s="391"/>
      <c r="D2" s="391"/>
      <c r="E2" s="391"/>
      <c r="F2" s="391"/>
      <c r="G2" s="391"/>
      <c r="H2" s="391"/>
    </row>
    <row r="3" spans="2:10" x14ac:dyDescent="0.3">
      <c r="B3" s="391"/>
      <c r="C3" s="391"/>
      <c r="D3" s="391"/>
      <c r="E3" s="391"/>
      <c r="F3" s="391"/>
      <c r="G3" s="391"/>
      <c r="H3" s="391"/>
    </row>
    <row r="4" spans="2:10" x14ac:dyDescent="0.3">
      <c r="B4" s="391"/>
      <c r="C4" s="391"/>
      <c r="D4" s="391"/>
      <c r="E4" s="391"/>
      <c r="F4" s="391"/>
      <c r="G4" s="391"/>
      <c r="H4" s="391"/>
    </row>
    <row r="5" spans="2:10" x14ac:dyDescent="0.3">
      <c r="B5" s="391"/>
      <c r="C5" s="391"/>
      <c r="D5" s="391"/>
      <c r="E5" s="391"/>
      <c r="F5" s="391"/>
      <c r="G5" s="391"/>
      <c r="H5" s="391"/>
    </row>
    <row r="6" spans="2:10" x14ac:dyDescent="0.3">
      <c r="B6" s="391"/>
      <c r="C6" s="391"/>
      <c r="D6" s="391"/>
      <c r="E6" s="391"/>
      <c r="F6" s="391"/>
      <c r="G6" s="391"/>
      <c r="H6" s="391"/>
    </row>
    <row r="7" spans="2:10" x14ac:dyDescent="0.3">
      <c r="B7" s="391"/>
      <c r="C7" s="391"/>
      <c r="D7" s="391"/>
      <c r="E7" s="391"/>
      <c r="F7" s="391"/>
      <c r="G7" s="391"/>
      <c r="H7" s="391"/>
    </row>
    <row r="8" spans="2:10" x14ac:dyDescent="0.3">
      <c r="B8" s="391"/>
      <c r="C8" s="391"/>
      <c r="D8" s="391"/>
      <c r="E8" s="391"/>
      <c r="F8" s="391"/>
      <c r="G8" s="391"/>
      <c r="H8" s="391"/>
    </row>
    <row r="9" spans="2:10" x14ac:dyDescent="0.3">
      <c r="B9" s="391"/>
      <c r="C9" s="391"/>
      <c r="D9" s="391"/>
      <c r="E9" s="391"/>
      <c r="F9" s="391"/>
      <c r="G9" s="391"/>
      <c r="H9" s="391"/>
    </row>
    <row r="10" spans="2:10" ht="101.85" customHeight="1" x14ac:dyDescent="0.3">
      <c r="B10" s="391"/>
      <c r="C10" s="1945" t="str">
        <f>'Hipóteses --&gt;'!$C$11:$J$11</f>
        <v>Plan de Viabilidade Económico-Financeira para unha Iniciativa Enerxética Comunitaria con Autoconsumo Colectivo</v>
      </c>
      <c r="D10" s="1946"/>
      <c r="E10" s="1946"/>
      <c r="F10" s="1946"/>
      <c r="G10" s="1946"/>
      <c r="H10" s="1946"/>
      <c r="I10" s="1946"/>
      <c r="J10" s="1947"/>
    </row>
    <row r="11" spans="2:10" x14ac:dyDescent="0.3">
      <c r="B11" s="391"/>
      <c r="C11" s="391"/>
      <c r="D11" s="391"/>
      <c r="E11" s="391"/>
      <c r="F11" s="391"/>
      <c r="G11" s="391"/>
      <c r="H11" s="391"/>
    </row>
    <row r="12" spans="2:10" ht="18" x14ac:dyDescent="0.3">
      <c r="B12" s="391"/>
      <c r="C12" s="393"/>
      <c r="D12" s="391"/>
      <c r="E12" s="391"/>
      <c r="F12" s="391"/>
      <c r="G12" s="391"/>
      <c r="H12" s="391"/>
    </row>
    <row r="13" spans="2:10" x14ac:dyDescent="0.3">
      <c r="B13" s="391"/>
      <c r="C13" s="391"/>
      <c r="D13" s="391"/>
      <c r="E13" s="391"/>
      <c r="F13" s="391"/>
      <c r="G13" s="391"/>
      <c r="H13" s="391"/>
    </row>
    <row r="14" spans="2:10" x14ac:dyDescent="0.3">
      <c r="B14" s="391"/>
      <c r="C14" s="391"/>
      <c r="D14" s="391"/>
      <c r="E14" s="391"/>
      <c r="F14" s="391"/>
      <c r="G14" s="391"/>
      <c r="H14" s="391"/>
    </row>
    <row r="15" spans="2:10" ht="21" x14ac:dyDescent="0.3">
      <c r="B15" s="391"/>
      <c r="C15" s="392" t="s">
        <v>848</v>
      </c>
      <c r="D15" s="391"/>
      <c r="E15" s="391"/>
      <c r="F15" s="391"/>
      <c r="G15" s="391"/>
      <c r="H15" s="391"/>
    </row>
  </sheetData>
  <mergeCells count="1">
    <mergeCell ref="C10:J10"/>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0B19-2040-44DE-BFB6-93615BAE7D79}">
  <dimension ref="A2:AF97"/>
  <sheetViews>
    <sheetView topLeftCell="C88" zoomScaleNormal="100" workbookViewId="0">
      <selection activeCell="C1" sqref="C1:F97"/>
    </sheetView>
  </sheetViews>
  <sheetFormatPr baseColWidth="10" defaultColWidth="11.44140625" defaultRowHeight="14.4" x14ac:dyDescent="0.3"/>
  <cols>
    <col min="1" max="1" width="14.44140625" bestFit="1" customWidth="1"/>
    <col min="2" max="2" width="11.44140625" customWidth="1"/>
    <col min="3" max="3" width="61.109375" customWidth="1"/>
    <col min="4" max="5" width="13" bestFit="1" customWidth="1"/>
    <col min="6" max="7" width="14.44140625" bestFit="1" customWidth="1"/>
    <col min="8" max="12" width="13" bestFit="1" customWidth="1"/>
    <col min="13" max="25" width="12.5546875" bestFit="1" customWidth="1"/>
    <col min="26" max="30" width="14.44140625" bestFit="1" customWidth="1"/>
    <col min="31" max="31" width="23.44140625" bestFit="1" customWidth="1"/>
    <col min="32" max="32" width="15.44140625" bestFit="1" customWidth="1"/>
  </cols>
  <sheetData>
    <row r="2" spans="1:32" x14ac:dyDescent="0.3">
      <c r="C2" s="13" t="s">
        <v>919</v>
      </c>
    </row>
    <row r="3" spans="1:32" ht="15" thickBot="1" x14ac:dyDescent="0.35">
      <c r="B3" s="145"/>
    </row>
    <row r="4" spans="1:32" s="747" customFormat="1" ht="15" thickTop="1" x14ac:dyDescent="0.3">
      <c r="A4" s="731"/>
      <c r="B4" s="701"/>
      <c r="C4" s="704"/>
      <c r="D4" s="1955" t="s">
        <v>918</v>
      </c>
      <c r="E4" s="1955"/>
      <c r="F4" s="702">
        <v>1</v>
      </c>
      <c r="G4" s="702">
        <v>2</v>
      </c>
      <c r="H4" s="702">
        <v>3</v>
      </c>
      <c r="I4" s="702">
        <v>4</v>
      </c>
      <c r="J4" s="702">
        <v>5</v>
      </c>
      <c r="K4" s="702">
        <v>6</v>
      </c>
      <c r="L4" s="702">
        <v>7</v>
      </c>
      <c r="M4" s="702">
        <v>8</v>
      </c>
      <c r="N4" s="702">
        <v>9</v>
      </c>
      <c r="O4" s="702">
        <v>10</v>
      </c>
      <c r="P4" s="702">
        <v>11</v>
      </c>
      <c r="Q4" s="702">
        <v>12</v>
      </c>
      <c r="R4" s="702">
        <v>13</v>
      </c>
      <c r="S4" s="702">
        <v>14</v>
      </c>
      <c r="T4" s="702">
        <v>15</v>
      </c>
      <c r="U4" s="702">
        <v>16</v>
      </c>
      <c r="V4" s="702">
        <v>17</v>
      </c>
      <c r="W4" s="702">
        <v>18</v>
      </c>
      <c r="X4" s="702">
        <v>19</v>
      </c>
      <c r="Y4" s="702">
        <v>20</v>
      </c>
      <c r="Z4" s="702">
        <v>21</v>
      </c>
      <c r="AA4" s="702">
        <v>22</v>
      </c>
      <c r="AB4" s="702">
        <v>23</v>
      </c>
      <c r="AC4" s="702">
        <v>24</v>
      </c>
      <c r="AD4" s="702">
        <v>25</v>
      </c>
      <c r="AE4" s="701" t="s">
        <v>917</v>
      </c>
    </row>
    <row r="5" spans="1:32" s="747" customFormat="1" ht="29.4" thickBot="1" x14ac:dyDescent="0.35">
      <c r="B5" s="749" t="s">
        <v>916</v>
      </c>
      <c r="C5" s="748" t="s">
        <v>915</v>
      </c>
      <c r="D5" s="697" t="s">
        <v>914</v>
      </c>
      <c r="E5" s="697"/>
      <c r="F5" s="697">
        <v>2025</v>
      </c>
      <c r="G5" s="697">
        <v>2026</v>
      </c>
      <c r="H5" s="697">
        <v>2027</v>
      </c>
      <c r="I5" s="697">
        <v>2028</v>
      </c>
      <c r="J5" s="697">
        <v>2029</v>
      </c>
      <c r="K5" s="697">
        <v>2030</v>
      </c>
      <c r="L5" s="697">
        <v>2031</v>
      </c>
      <c r="M5" s="697">
        <v>2032</v>
      </c>
      <c r="N5" s="697">
        <v>2033</v>
      </c>
      <c r="O5" s="697">
        <v>2034</v>
      </c>
      <c r="P5" s="697">
        <v>2035</v>
      </c>
      <c r="Q5" s="697">
        <v>2036</v>
      </c>
      <c r="R5" s="697">
        <v>2037</v>
      </c>
      <c r="S5" s="697">
        <v>2038</v>
      </c>
      <c r="T5" s="697">
        <v>2039</v>
      </c>
      <c r="U5" s="697">
        <v>2040</v>
      </c>
      <c r="V5" s="697">
        <v>2041</v>
      </c>
      <c r="W5" s="697">
        <v>2042</v>
      </c>
      <c r="X5" s="697">
        <v>2043</v>
      </c>
      <c r="Y5" s="697">
        <v>2044</v>
      </c>
      <c r="Z5" s="697">
        <v>2045</v>
      </c>
      <c r="AA5" s="697">
        <v>2046</v>
      </c>
      <c r="AB5" s="697">
        <v>2047</v>
      </c>
      <c r="AC5" s="697">
        <v>2048</v>
      </c>
      <c r="AD5" s="697">
        <v>2049</v>
      </c>
      <c r="AE5" s="696" t="s">
        <v>906</v>
      </c>
    </row>
    <row r="6" spans="1:32" ht="15" thickTop="1" x14ac:dyDescent="0.3">
      <c r="A6" s="682"/>
      <c r="B6">
        <v>7050010</v>
      </c>
      <c r="C6" s="166" t="s">
        <v>913</v>
      </c>
      <c r="D6" s="145" t="e">
        <f>'Estim. Ingresos'!$D$26</f>
        <v>#N/A</v>
      </c>
      <c r="E6" s="145"/>
      <c r="F6" s="145" t="e">
        <f>D6</f>
        <v>#N/A</v>
      </c>
      <c r="G6" s="145" t="e">
        <f>F6*(1+'Hipóteses 2'!$G$7)*(1+'Hipóteses xerais (2)'!C47)</f>
        <v>#N/A</v>
      </c>
      <c r="H6" s="145" t="e">
        <f>G6*(1+'Hipóteses 2'!$G$7)*(1+'Hipóteses xerais (2)'!C47)</f>
        <v>#N/A</v>
      </c>
      <c r="I6" s="145" t="e">
        <f>H6*(1+'Hipóteses 2'!$G$7)*(1+'Hipóteses xerais (2)'!C47)</f>
        <v>#N/A</v>
      </c>
      <c r="J6" s="145" t="e">
        <f>I6*(1+'Hipóteses 2'!$G$7)*(1+'Hipóteses xerais (2)'!C47)</f>
        <v>#N/A</v>
      </c>
      <c r="K6" s="145" t="e">
        <f>J6*(1+'Hipóteses 2'!$G$8)*(1+'Hipóteses xerais (2)'!$C$47)</f>
        <v>#N/A</v>
      </c>
      <c r="L6" s="145" t="e">
        <f>K6*(1+'Hipóteses 2'!$G$8)*(1+'Hipóteses xerais (2)'!$C$47)</f>
        <v>#N/A</v>
      </c>
      <c r="M6" s="145" t="e">
        <f>L6*(1+'Hipóteses 2'!$G$8)*(1+'Hipóteses xerais (2)'!$C$47)</f>
        <v>#N/A</v>
      </c>
      <c r="N6" s="145" t="e">
        <f>M6*(1+'Hipóteses 2'!$G$8)*(1+'Hipóteses xerais (2)'!$C$47)</f>
        <v>#N/A</v>
      </c>
      <c r="O6" s="145" t="e">
        <f>N6*(1+'Hipóteses 2'!$G$8)*(1+'Hipóteses xerais (2)'!$C$47)</f>
        <v>#N/A</v>
      </c>
      <c r="P6" s="145" t="e">
        <f>O6*(1+'Hipóteses 2'!$G$8)*(1+'Hipóteses xerais (2)'!$C$47)</f>
        <v>#N/A</v>
      </c>
      <c r="Q6" s="145" t="e">
        <f>P6*(1+'Hipóteses 2'!$G$8)*(1+'Hipóteses xerais (2)'!$C$47)</f>
        <v>#N/A</v>
      </c>
      <c r="R6" s="145" t="e">
        <f>Q6*(1+'Hipóteses 2'!$G$8)*(1+'Hipóteses xerais (2)'!$C$47)</f>
        <v>#N/A</v>
      </c>
      <c r="S6" s="145" t="e">
        <f>R6*(1+'Hipóteses 2'!$G$8)*(1+'Hipóteses xerais (2)'!$C$47)</f>
        <v>#N/A</v>
      </c>
      <c r="T6" s="145" t="e">
        <f>S6*(1+'Hipóteses 2'!$G$8)*(1+'Hipóteses xerais (2)'!$C$47)</f>
        <v>#N/A</v>
      </c>
      <c r="U6" s="145" t="e">
        <f>T6*(1+'Hipóteses 2'!$G$8)*(1+'Hipóteses xerais (2)'!$C$47)</f>
        <v>#N/A</v>
      </c>
      <c r="V6" s="145" t="e">
        <f>U6*(1+'Hipóteses 2'!$G$8)*(1+'Hipóteses xerais (2)'!$C$47)</f>
        <v>#N/A</v>
      </c>
      <c r="W6" s="145" t="e">
        <f>V6*(1+'Hipóteses 2'!$G$8)*(1+'Hipóteses xerais (2)'!$C$47)</f>
        <v>#N/A</v>
      </c>
      <c r="X6" s="145" t="e">
        <f>W6*(1+'Hipóteses 2'!$G$8)*(1+'Hipóteses xerais (2)'!$C$47)</f>
        <v>#N/A</v>
      </c>
      <c r="Y6" s="145" t="e">
        <f>X6*(1+'Hipóteses 2'!$G$8)*(1+'Hipóteses xerais (2)'!$C$47)</f>
        <v>#N/A</v>
      </c>
      <c r="Z6" s="145" t="e">
        <f>Y6*(1+'Hipóteses 2'!$G$8)*(1+'Hipóteses xerais (2)'!$C$47)</f>
        <v>#N/A</v>
      </c>
      <c r="AA6" s="145" t="e">
        <f>Z6*(1+'Hipóteses 2'!$G$8)*(1+'Hipóteses xerais (2)'!$C$47)</f>
        <v>#N/A</v>
      </c>
      <c r="AB6" s="145" t="e">
        <f>AA6*(1+'Hipóteses 2'!$G$8)*(1+'Hipóteses xerais (2)'!$C$47)</f>
        <v>#N/A</v>
      </c>
      <c r="AC6" s="145" t="e">
        <f>AB6*(1+'Hipóteses 2'!$G$8)*(1+'Hipóteses xerais (2)'!$C$47)</f>
        <v>#N/A</v>
      </c>
      <c r="AD6" s="145" t="e">
        <f>AC6*(1+'Hipóteses 2'!$G$8)*(1+'Hipóteses xerais (2)'!$C$47)</f>
        <v>#N/A</v>
      </c>
      <c r="AE6" s="681" t="e">
        <f t="shared" ref="AE6:AE15" si="0">SUM(F6:AD6)</f>
        <v>#N/A</v>
      </c>
    </row>
    <row r="7" spans="1:32" s="10" customFormat="1" ht="28.8" x14ac:dyDescent="0.3">
      <c r="A7" s="746"/>
      <c r="B7" s="10">
        <v>7050020</v>
      </c>
      <c r="C7" s="729" t="s">
        <v>912</v>
      </c>
      <c r="D7" s="644" t="e">
        <f>'Estim. Ingresos'!$D$27</f>
        <v>#N/A</v>
      </c>
      <c r="E7" s="644"/>
      <c r="F7" s="644" t="e">
        <f>D7</f>
        <v>#N/A</v>
      </c>
      <c r="G7" s="644" t="e">
        <f>F7*(1+'Hipóteses 2'!$H$7)*(1+'Hipóteses xerais (2)'!C47)</f>
        <v>#N/A</v>
      </c>
      <c r="H7" s="644" t="e">
        <f>G7*(1+'Hipóteses 2'!$H$7)*(1+'Hipóteses xerais (2)'!C47)</f>
        <v>#N/A</v>
      </c>
      <c r="I7" s="644" t="e">
        <f>H7*(1+'Hipóteses 2'!$H$7)*(1+'Hipóteses xerais (2)'!C47)</f>
        <v>#N/A</v>
      </c>
      <c r="J7" s="644" t="e">
        <f>I7*(1+'Hipóteses 2'!$H$7)*(1+'Hipóteses xerais (2)'!C47)</f>
        <v>#N/A</v>
      </c>
      <c r="K7" s="644" t="e">
        <f>J7*(1+'Hipóteses 2'!$H$8)*(1+'Hipóteses xerais (2)'!$C$47)</f>
        <v>#N/A</v>
      </c>
      <c r="L7" s="644" t="e">
        <f>K7*(1+'Hipóteses 2'!$H$8)*(1+'Hipóteses xerais (2)'!$C$47)</f>
        <v>#N/A</v>
      </c>
      <c r="M7" s="644" t="e">
        <f>L7*(1+'Hipóteses 2'!$H$8)*(1+'Hipóteses xerais (2)'!$C$47)</f>
        <v>#N/A</v>
      </c>
      <c r="N7" s="644" t="e">
        <f>M7*(1+'Hipóteses 2'!$H$8)*(1+'Hipóteses xerais (2)'!$C$47)</f>
        <v>#N/A</v>
      </c>
      <c r="O7" s="644" t="e">
        <f>N7*(1+'Hipóteses 2'!$H$8)*(1+'Hipóteses xerais (2)'!$C$47)</f>
        <v>#N/A</v>
      </c>
      <c r="P7" s="644" t="e">
        <f>O7*(1+'Hipóteses 2'!$H$8)*(1+'Hipóteses xerais (2)'!$C$47)</f>
        <v>#N/A</v>
      </c>
      <c r="Q7" s="644" t="e">
        <f>P7*(1+'Hipóteses 2'!$H$8)*(1+'Hipóteses xerais (2)'!$C$47)</f>
        <v>#N/A</v>
      </c>
      <c r="R7" s="644" t="e">
        <f>Q7*(1+'Hipóteses 2'!$H$8)*(1+'Hipóteses xerais (2)'!$C$47)</f>
        <v>#N/A</v>
      </c>
      <c r="S7" s="644" t="e">
        <f>R7*(1+'Hipóteses 2'!$H$8)*(1+'Hipóteses xerais (2)'!$C$47)</f>
        <v>#N/A</v>
      </c>
      <c r="T7" s="644" t="e">
        <f>S7*(1+'Hipóteses 2'!$H$8)*(1+'Hipóteses xerais (2)'!$C$47)</f>
        <v>#N/A</v>
      </c>
      <c r="U7" s="644" t="e">
        <f>T7*(1+'Hipóteses 2'!$H$8)*(1+'Hipóteses xerais (2)'!$C$47)</f>
        <v>#N/A</v>
      </c>
      <c r="V7" s="644" t="e">
        <f>U7*(1+'Hipóteses 2'!$H$8)*(1+'Hipóteses xerais (2)'!$C$47)</f>
        <v>#N/A</v>
      </c>
      <c r="W7" s="644" t="e">
        <f>V7*(1+'Hipóteses 2'!$H$8)*(1+'Hipóteses xerais (2)'!$C$47)</f>
        <v>#N/A</v>
      </c>
      <c r="X7" s="644" t="e">
        <f>W7*(1+'Hipóteses 2'!$H$8)*(1+'Hipóteses xerais (2)'!$C$47)</f>
        <v>#N/A</v>
      </c>
      <c r="Y7" s="644" t="e">
        <f>X7*(1+'Hipóteses 2'!$H$8)*(1+'Hipóteses xerais (2)'!$C$47)</f>
        <v>#N/A</v>
      </c>
      <c r="Z7" s="644" t="e">
        <f>Y7*(1+'Hipóteses 2'!$H$8)*(1+'Hipóteses xerais (2)'!$C$47)</f>
        <v>#N/A</v>
      </c>
      <c r="AA7" s="644" t="e">
        <f>Z7*(1+'Hipóteses 2'!$H$8)*(1+'Hipóteses xerais (2)'!$C$47)</f>
        <v>#N/A</v>
      </c>
      <c r="AB7" s="644" t="e">
        <f>AA7*(1+'Hipóteses 2'!$H$8)*(1+'Hipóteses xerais (2)'!$C$47)</f>
        <v>#N/A</v>
      </c>
      <c r="AC7" s="644" t="e">
        <f>AB7*(1+'Hipóteses 2'!$H$8)*(1+'Hipóteses xerais (2)'!$C$47)</f>
        <v>#N/A</v>
      </c>
      <c r="AD7" s="644" t="e">
        <f>AC7*(1+'Hipóteses 2'!$H$8)*(1+'Hipóteses xerais (2)'!$C$47)</f>
        <v>#N/A</v>
      </c>
      <c r="AE7" s="728" t="e">
        <f t="shared" si="0"/>
        <v>#N/A</v>
      </c>
    </row>
    <row r="8" spans="1:32" s="10" customFormat="1" x14ac:dyDescent="0.3">
      <c r="A8" s="746"/>
      <c r="B8" s="10">
        <v>7050030</v>
      </c>
      <c r="C8" s="729" t="s">
        <v>911</v>
      </c>
      <c r="D8" s="644" t="e">
        <f>'Estim. Ingresos'!$D$28</f>
        <v>#N/A</v>
      </c>
      <c r="E8" s="644"/>
      <c r="F8" s="644" t="e">
        <f>D8</f>
        <v>#N/A</v>
      </c>
      <c r="G8" s="644" t="e">
        <f>F8*(1+'Hipóteses 2'!$H$7)*(1+'Hipóteses xerais (2)'!$C$47)</f>
        <v>#N/A</v>
      </c>
      <c r="H8" s="644" t="e">
        <f>G8*(1+'Hipóteses 2'!$H$7)*(1+'Hipóteses xerais (2)'!$C$47)</f>
        <v>#N/A</v>
      </c>
      <c r="I8" s="644" t="e">
        <f>H8*(1+'Hipóteses 2'!$H$7)*(1+'Hipóteses xerais (2)'!$C$47)</f>
        <v>#N/A</v>
      </c>
      <c r="J8" s="644" t="e">
        <f>I8*(1+'Hipóteses 2'!$H$7)*(1+'Hipóteses xerais (2)'!$C$47)</f>
        <v>#N/A</v>
      </c>
      <c r="K8" s="644" t="e">
        <f>J8*(1+'Hipóteses 2'!$H$7)*(1+'Hipóteses xerais (2)'!$C$47)</f>
        <v>#N/A</v>
      </c>
      <c r="L8" s="644" t="e">
        <f>K8*(1+'Hipóteses 2'!$H$7)*(1+'Hipóteses xerais (2)'!$C$47)</f>
        <v>#N/A</v>
      </c>
      <c r="M8" s="644" t="e">
        <f>L8*(1+'Hipóteses 2'!$H$7)*(1+'Hipóteses xerais (2)'!$C$47)</f>
        <v>#N/A</v>
      </c>
      <c r="N8" s="644" t="e">
        <f>M8*(1+'Hipóteses 2'!$H$7)*(1+'Hipóteses xerais (2)'!$C$47)</f>
        <v>#N/A</v>
      </c>
      <c r="O8" s="644" t="e">
        <f>N8*(1+'Hipóteses 2'!$H$7)*(1+'Hipóteses xerais (2)'!$C$47)</f>
        <v>#N/A</v>
      </c>
      <c r="P8" s="644" t="e">
        <f>O8*(1+'Hipóteses 2'!$H$7)*(1+'Hipóteses xerais (2)'!$C$47)</f>
        <v>#N/A</v>
      </c>
      <c r="Q8" s="644" t="e">
        <f>P8*(1+'Hipóteses 2'!$H$7)*(1+'Hipóteses xerais (2)'!$C$47)</f>
        <v>#N/A</v>
      </c>
      <c r="R8" s="644" t="e">
        <f>Q8*(1+'Hipóteses 2'!$H$7)*(1+'Hipóteses xerais (2)'!$C$47)</f>
        <v>#N/A</v>
      </c>
      <c r="S8" s="644" t="e">
        <f>R8*(1+'Hipóteses 2'!$H$7)*(1+'Hipóteses xerais (2)'!$C$47)</f>
        <v>#N/A</v>
      </c>
      <c r="T8" s="644" t="e">
        <f>S8*(1+'Hipóteses 2'!$H$7)*(1+'Hipóteses xerais (2)'!$C$47)</f>
        <v>#N/A</v>
      </c>
      <c r="U8" s="644" t="e">
        <f>T8*(1+'Hipóteses 2'!$H$7)*(1+'Hipóteses xerais (2)'!$C$47)</f>
        <v>#N/A</v>
      </c>
      <c r="V8" s="644" t="e">
        <f>U8*(1+'Hipóteses 2'!$H$7)*(1+'Hipóteses xerais (2)'!$C$47)</f>
        <v>#N/A</v>
      </c>
      <c r="W8" s="644" t="e">
        <f>V8*(1+'Hipóteses 2'!$H$7)*(1+'Hipóteses xerais (2)'!$C$47)</f>
        <v>#N/A</v>
      </c>
      <c r="X8" s="644" t="e">
        <f>W8*(1+'Hipóteses 2'!$H$7)*(1+'Hipóteses xerais (2)'!$C$47)</f>
        <v>#N/A</v>
      </c>
      <c r="Y8" s="644" t="e">
        <f>X8*(1+'Hipóteses 2'!$H$7)*(1+'Hipóteses xerais (2)'!$C$47)</f>
        <v>#N/A</v>
      </c>
      <c r="Z8" s="644" t="e">
        <f>Y8*(1+'Hipóteses 2'!$H$7)*(1+'Hipóteses xerais (2)'!$C$47)</f>
        <v>#N/A</v>
      </c>
      <c r="AA8" s="644" t="e">
        <f>Z8*(1+'Hipóteses 2'!$H$7)*(1+'Hipóteses xerais (2)'!$C$47)</f>
        <v>#N/A</v>
      </c>
      <c r="AB8" s="644" t="e">
        <f>AA8*(1+'Hipóteses 2'!$H$7)*(1+'Hipóteses xerais (2)'!$C$47)</f>
        <v>#N/A</v>
      </c>
      <c r="AC8" s="644" t="e">
        <f>AB8*(1+'Hipóteses 2'!$H$7)*(1+'Hipóteses xerais (2)'!$C$47)</f>
        <v>#N/A</v>
      </c>
      <c r="AD8" s="644" t="e">
        <f>AC8*(1+'Hipóteses 2'!$H$7)*(1+'Hipóteses xerais (2)'!$C$47)</f>
        <v>#N/A</v>
      </c>
      <c r="AE8" s="728" t="e">
        <f t="shared" si="0"/>
        <v>#N/A</v>
      </c>
    </row>
    <row r="9" spans="1:32" s="63" customFormat="1" x14ac:dyDescent="0.3">
      <c r="C9" s="745" t="s">
        <v>910</v>
      </c>
      <c r="D9" s="58" t="e">
        <f>SUM(D6:D8)</f>
        <v>#N/A</v>
      </c>
      <c r="E9" s="58"/>
      <c r="F9" s="58" t="e">
        <f>SUM(F6:F8)</f>
        <v>#N/A</v>
      </c>
      <c r="G9" s="58" t="e">
        <f>F9*(1+'Hipóteses xerais (2)'!$C$31)</f>
        <v>#N/A</v>
      </c>
      <c r="H9" s="58" t="e">
        <f>G9*(1+'Hipóteses xerais (2)'!$C$31)</f>
        <v>#N/A</v>
      </c>
      <c r="I9" s="58" t="e">
        <f>H9*(1+'Hipóteses xerais (2)'!$C$31)</f>
        <v>#N/A</v>
      </c>
      <c r="J9" s="58" t="e">
        <f>I9*(1+'Hipóteses xerais (2)'!$C$31)</f>
        <v>#N/A</v>
      </c>
      <c r="K9" s="58" t="e">
        <f>J9*(1+'Hipóteses xerais (2)'!$C$31)</f>
        <v>#N/A</v>
      </c>
      <c r="L9" s="58" t="e">
        <f>K9*(1+'Hipóteses xerais (2)'!$C$31)</f>
        <v>#N/A</v>
      </c>
      <c r="M9" s="58" t="e">
        <f>L9*(1+'Hipóteses xerais (2)'!$C$31)</f>
        <v>#N/A</v>
      </c>
      <c r="N9" s="58" t="e">
        <f>M9*(1+'Hipóteses xerais (2)'!$C$31)</f>
        <v>#N/A</v>
      </c>
      <c r="O9" s="58" t="e">
        <f>N9*(1+'Hipóteses xerais (2)'!$C$31)</f>
        <v>#N/A</v>
      </c>
      <c r="P9" s="58" t="e">
        <f>O9*(1+'Hipóteses xerais (2)'!$C$31)</f>
        <v>#N/A</v>
      </c>
      <c r="Q9" s="58" t="e">
        <f>P9*(1+'Hipóteses xerais (2)'!$C$31)</f>
        <v>#N/A</v>
      </c>
      <c r="R9" s="58" t="e">
        <f>Q9*(1+'Hipóteses xerais (2)'!$C$31)</f>
        <v>#N/A</v>
      </c>
      <c r="S9" s="58" t="e">
        <f>R9*(1+'Hipóteses xerais (2)'!$C$31)</f>
        <v>#N/A</v>
      </c>
      <c r="T9" s="58" t="e">
        <f>S9*(1+'Hipóteses xerais (2)'!$C$31)</f>
        <v>#N/A</v>
      </c>
      <c r="U9" s="58" t="e">
        <f>T9*(1+'Hipóteses xerais (2)'!$C$31)</f>
        <v>#N/A</v>
      </c>
      <c r="V9" s="58" t="e">
        <f>U9*(1+'Hipóteses xerais (2)'!$C$31)</f>
        <v>#N/A</v>
      </c>
      <c r="W9" s="58" t="e">
        <f>V9*(1+'Hipóteses xerais (2)'!$C$31)</f>
        <v>#N/A</v>
      </c>
      <c r="X9" s="58" t="e">
        <f>W9*(1+'Hipóteses xerais (2)'!$C$31)</f>
        <v>#N/A</v>
      </c>
      <c r="Y9" s="58" t="e">
        <f>X9*(1+'Hipóteses xerais (2)'!$C$31)</f>
        <v>#N/A</v>
      </c>
      <c r="Z9" s="58" t="e">
        <f>Y9*(1+'Hipóteses xerais (2)'!$C$31)</f>
        <v>#N/A</v>
      </c>
      <c r="AA9" s="58" t="e">
        <f>Z9*(1+'Hipóteses xerais (2)'!$C$31)</f>
        <v>#N/A</v>
      </c>
      <c r="AB9" s="58" t="e">
        <f>AA9*(1+'Hipóteses xerais (2)'!$C$31)</f>
        <v>#N/A</v>
      </c>
      <c r="AC9" s="58" t="e">
        <f>AB9*(1+'Hipóteses xerais (2)'!$C$31)</f>
        <v>#N/A</v>
      </c>
      <c r="AD9" s="58" t="e">
        <f>AC9*(1+'Hipóteses xerais (2)'!$C$31)</f>
        <v>#N/A</v>
      </c>
      <c r="AE9" s="744" t="e">
        <f t="shared" si="0"/>
        <v>#N/A</v>
      </c>
    </row>
    <row r="10" spans="1:32" s="63" customFormat="1" x14ac:dyDescent="0.3">
      <c r="B10">
        <v>7050040</v>
      </c>
      <c r="C10" s="743" t="str">
        <f>'Estim. Ingresos'!$A34</f>
        <v>Cota Extra Inicial (Só Primeiro Ano)</v>
      </c>
      <c r="D10" s="145" t="e">
        <f>'Estim. Ingresos'!$D34</f>
        <v>#N/A</v>
      </c>
      <c r="E10" s="145"/>
      <c r="F10" s="145" t="e">
        <f>D10</f>
        <v>#N/A</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744" t="e">
        <f t="shared" si="0"/>
        <v>#N/A</v>
      </c>
    </row>
    <row r="11" spans="1:32" s="63" customFormat="1" x14ac:dyDescent="0.3">
      <c r="B11">
        <v>7050041</v>
      </c>
      <c r="C11" s="743" t="str">
        <f>'Estim. Ingresos'!$A35</f>
        <v>Cotas de Socios</v>
      </c>
      <c r="D11" s="145" t="e">
        <f>'Estim. Ingresos'!$D35</f>
        <v>#N/A</v>
      </c>
      <c r="E11" s="145"/>
      <c r="F11" s="145" t="e">
        <f>D11</f>
        <v>#N/A</v>
      </c>
      <c r="G11" s="145" t="e">
        <f>IF('Hipóteses xerais (2)'!$C$96="Si",('Conta explotación'!G$93*12*'Hipóteses xerais (2)'!$F$39),('Conta explotación'!G$76*12*'Hipóteses xerais (2)'!$F$39))</f>
        <v>#N/A</v>
      </c>
      <c r="H11" s="145" t="e">
        <f>IF('Hipóteses xerais (2)'!$C$96="Si",('Conta explotación'!H$93*12*'Hipóteses xerais (2)'!$F$39),('Conta explotación'!H$76*12*'Hipóteses xerais (2)'!$F$39))</f>
        <v>#N/A</v>
      </c>
      <c r="I11" s="145" t="e">
        <f>IF('Hipóteses xerais (2)'!$C$96="Si",('Conta explotación'!I$93*12*'Hipóteses xerais (2)'!$F$39),('Conta explotación'!I$76*12*'Hipóteses xerais (2)'!$F$39))</f>
        <v>#N/A</v>
      </c>
      <c r="J11" s="145" t="e">
        <f>IF('Hipóteses xerais (2)'!$C$96="Si",('Conta explotación'!J$93*12*'Hipóteses xerais (2)'!$F$39),('Conta explotación'!J$76*12*'Hipóteses xerais (2)'!$F$39))</f>
        <v>#N/A</v>
      </c>
      <c r="K11" s="145" t="e">
        <f>IF('Hipóteses xerais (2)'!$C$96="Si",('Conta explotación'!K$93*12*'Hipóteses xerais (2)'!$F$39),('Conta explotación'!K$76*12*'Hipóteses xerais (2)'!$F$39))</f>
        <v>#N/A</v>
      </c>
      <c r="L11" s="145" t="e">
        <f>IF('Hipóteses xerais (2)'!$C$96="Si",('Conta explotación'!L$93*12*'Hipóteses xerais (2)'!$F$39),('Conta explotación'!L$76*12*'Hipóteses xerais (2)'!$F$39))</f>
        <v>#N/A</v>
      </c>
      <c r="M11" s="145" t="e">
        <f>IF('Hipóteses xerais (2)'!$C$96="Si",('Conta explotación'!M$93*12*'Hipóteses xerais (2)'!$F$39),('Conta explotación'!M$76*12*'Hipóteses xerais (2)'!$F$39))</f>
        <v>#N/A</v>
      </c>
      <c r="N11" s="145" t="e">
        <f>IF('Hipóteses xerais (2)'!$C$96="Si",('Conta explotación'!N$93*12*'Hipóteses xerais (2)'!$F$39),('Conta explotación'!N$76*12*'Hipóteses xerais (2)'!$F$39))</f>
        <v>#N/A</v>
      </c>
      <c r="O11" s="145" t="e">
        <f>IF('Hipóteses xerais (2)'!$C$96="Si",('Conta explotación'!O$93*12*'Hipóteses xerais (2)'!$F$39),('Conta explotación'!O$76*12*'Hipóteses xerais (2)'!$F$39))</f>
        <v>#N/A</v>
      </c>
      <c r="P11" s="145" t="e">
        <f>IF('Hipóteses xerais (2)'!$C$96="Si",('Conta explotación'!P$93*12*'Hipóteses xerais (2)'!$F$39),('Conta explotación'!P$76*12*'Hipóteses xerais (2)'!$F$39))</f>
        <v>#N/A</v>
      </c>
      <c r="Q11" s="145" t="e">
        <f>IF('Hipóteses xerais (2)'!$C$96="Si",('Conta explotación'!Q$93*12*'Hipóteses xerais (2)'!$F$39),('Conta explotación'!Q$76*12*'Hipóteses xerais (2)'!$F$39))</f>
        <v>#N/A</v>
      </c>
      <c r="R11" s="145" t="e">
        <f>IF('Hipóteses xerais (2)'!$C$96="Si",('Conta explotación'!R$93*12*'Hipóteses xerais (2)'!$F$39),('Conta explotación'!R$76*12*'Hipóteses xerais (2)'!$F$39))</f>
        <v>#N/A</v>
      </c>
      <c r="S11" s="145" t="e">
        <f>IF('Hipóteses xerais (2)'!$C$96="Si",('Conta explotación'!S$93*12*'Hipóteses xerais (2)'!$F$39),('Conta explotación'!S$76*12*'Hipóteses xerais (2)'!$F$39))</f>
        <v>#N/A</v>
      </c>
      <c r="T11" s="145" t="e">
        <f>IF('Hipóteses xerais (2)'!$C$96="Si",('Conta explotación'!T$93*12*'Hipóteses xerais (2)'!$F$39),('Conta explotación'!T$76*12*'Hipóteses xerais (2)'!$F$39))</f>
        <v>#N/A</v>
      </c>
      <c r="U11" s="145" t="e">
        <f>IF('Hipóteses xerais (2)'!$C$96="Si",('Conta explotación'!U$93*12*'Hipóteses xerais (2)'!$F$39),('Conta explotación'!U$76*12*'Hipóteses xerais (2)'!$F$39))</f>
        <v>#N/A</v>
      </c>
      <c r="V11" s="145" t="e">
        <f>IF('Hipóteses xerais (2)'!$C$96="Si",('Conta explotación'!V$93*12*'Hipóteses xerais (2)'!$F$39),('Conta explotación'!V$76*12*'Hipóteses xerais (2)'!$F$39))</f>
        <v>#N/A</v>
      </c>
      <c r="W11" s="145" t="e">
        <f>IF('Hipóteses xerais (2)'!$C$96="Si",('Conta explotación'!W$93*12*'Hipóteses xerais (2)'!$F$39),('Conta explotación'!W$76*12*'Hipóteses xerais (2)'!$F$39))</f>
        <v>#N/A</v>
      </c>
      <c r="X11" s="145" t="e">
        <f>IF('Hipóteses xerais (2)'!$C$96="Si",('Conta explotación'!X$93*12*'Hipóteses xerais (2)'!$F$39),('Conta explotación'!X$76*12*'Hipóteses xerais (2)'!$F$39))</f>
        <v>#N/A</v>
      </c>
      <c r="Y11" s="145" t="e">
        <f>IF('Hipóteses xerais (2)'!$C$96="Si",('Conta explotación'!Y$93*12*'Hipóteses xerais (2)'!$F$39),('Conta explotación'!Y$76*12*'Hipóteses xerais (2)'!$F$39))</f>
        <v>#N/A</v>
      </c>
      <c r="Z11" s="145" t="e">
        <f>IF('Hipóteses xerais (2)'!$C$96="Si",('Conta explotación'!Z$93*12*'Hipóteses xerais (2)'!$F$39),('Conta explotación'!Z$76*12*'Hipóteses xerais (2)'!$F$39))</f>
        <v>#N/A</v>
      </c>
      <c r="AA11" s="145" t="e">
        <f>IF('Hipóteses xerais (2)'!$C$96="Si",('Conta explotación'!AA$93*12*'Hipóteses xerais (2)'!$F$39),('Conta explotación'!AA$76*12*'Hipóteses xerais (2)'!$F$39))</f>
        <v>#N/A</v>
      </c>
      <c r="AB11" s="145" t="e">
        <f>IF('Hipóteses xerais (2)'!$C$96="Si",('Conta explotación'!AB$93*12*'Hipóteses xerais (2)'!$F$39),('Conta explotación'!AB$76*12*'Hipóteses xerais (2)'!$F$39))</f>
        <v>#N/A</v>
      </c>
      <c r="AC11" s="145" t="e">
        <f>IF('Hipóteses xerais (2)'!$C$96="Si",('Conta explotación'!AC$93*12*'Hipóteses xerais (2)'!$F$39),('Conta explotación'!AC$76*12*'Hipóteses xerais (2)'!$F$39))</f>
        <v>#N/A</v>
      </c>
      <c r="AD11" s="145" t="e">
        <f>IF('Hipóteses xerais (2)'!$C$96="Si",('Conta explotación'!AD$93*12*'Hipóteses xerais (2)'!$F$39),('Conta explotación'!AD$76*12*'Hipóteses xerais (2)'!$F$39))</f>
        <v>#N/A</v>
      </c>
      <c r="AE11" s="671" t="e">
        <f t="shared" si="0"/>
        <v>#N/A</v>
      </c>
    </row>
    <row r="12" spans="1:32" s="63" customFormat="1" x14ac:dyDescent="0.3">
      <c r="B12">
        <v>7050050</v>
      </c>
      <c r="C12" s="743" t="str">
        <f>'Estim. Ingresos'!$A36</f>
        <v>Ingresos por Prestación Doutros Servizos Complementarios aos Socios</v>
      </c>
      <c r="D12" s="644" t="e">
        <f>'Estim. Ingresos'!$D36</f>
        <v>#N/A</v>
      </c>
      <c r="E12" s="644"/>
      <c r="F12" s="644" t="e">
        <f>D12</f>
        <v>#N/A</v>
      </c>
      <c r="G12" s="644" t="e">
        <f>F12*(1+'Hipóteses 2'!$H$7)*(1+'Hipóteses xerais (2)'!$C$47)</f>
        <v>#N/A</v>
      </c>
      <c r="H12" s="644" t="e">
        <f>G12*(1+'Hipóteses 2'!$H$7)*(1+'Hipóteses xerais (2)'!$C$47)</f>
        <v>#N/A</v>
      </c>
      <c r="I12" s="644" t="e">
        <f>H12*(1+'Hipóteses 2'!$H$7)*(1+'Hipóteses xerais (2)'!$C$47)</f>
        <v>#N/A</v>
      </c>
      <c r="J12" s="644" t="e">
        <f>I12*(1+'Hipóteses 2'!$H$7)*(1+'Hipóteses xerais (2)'!$C$47)</f>
        <v>#N/A</v>
      </c>
      <c r="K12" s="644" t="e">
        <f>J12*(1+'Hipóteses 2'!$H$7)*(1+'Hipóteses xerais (2)'!$C$47)</f>
        <v>#N/A</v>
      </c>
      <c r="L12" s="644" t="e">
        <f>K12*(1+'Hipóteses 2'!$H$7)*(1+'Hipóteses xerais (2)'!$C$47)</f>
        <v>#N/A</v>
      </c>
      <c r="M12" s="644" t="e">
        <f>L12*(1+'Hipóteses 2'!$H$7)*(1+'Hipóteses xerais (2)'!$C$47)</f>
        <v>#N/A</v>
      </c>
      <c r="N12" s="644" t="e">
        <f>M12*(1+'Hipóteses 2'!$H$7)*(1+'Hipóteses xerais (2)'!$C$47)</f>
        <v>#N/A</v>
      </c>
      <c r="O12" s="644" t="e">
        <f>N12*(1+'Hipóteses 2'!$H$7)*(1+'Hipóteses xerais (2)'!$C$47)</f>
        <v>#N/A</v>
      </c>
      <c r="P12" s="644" t="e">
        <f>O12*(1+'Hipóteses 2'!$H$7)*(1+'Hipóteses xerais (2)'!$C$47)</f>
        <v>#N/A</v>
      </c>
      <c r="Q12" s="644" t="e">
        <f>P12*(1+'Hipóteses 2'!$H$7)*(1+'Hipóteses xerais (2)'!$C$47)</f>
        <v>#N/A</v>
      </c>
      <c r="R12" s="644" t="e">
        <f>Q12*(1+'Hipóteses 2'!$H$7)*(1+'Hipóteses xerais (2)'!$C$47)</f>
        <v>#N/A</v>
      </c>
      <c r="S12" s="644" t="e">
        <f>R12*(1+'Hipóteses 2'!$H$7)*(1+'Hipóteses xerais (2)'!$C$47)</f>
        <v>#N/A</v>
      </c>
      <c r="T12" s="644" t="e">
        <f>S12*(1+'Hipóteses 2'!$H$7)*(1+'Hipóteses xerais (2)'!$C$47)</f>
        <v>#N/A</v>
      </c>
      <c r="U12" s="644" t="e">
        <f>T12*(1+'Hipóteses 2'!$H$7)*(1+'Hipóteses xerais (2)'!$C$47)</f>
        <v>#N/A</v>
      </c>
      <c r="V12" s="644" t="e">
        <f>U12*(1+'Hipóteses 2'!$H$7)*(1+'Hipóteses xerais (2)'!$C$47)</f>
        <v>#N/A</v>
      </c>
      <c r="W12" s="644" t="e">
        <f>V12*(1+'Hipóteses 2'!$H$7)*(1+'Hipóteses xerais (2)'!$C$47)</f>
        <v>#N/A</v>
      </c>
      <c r="X12" s="644" t="e">
        <f>W12*(1+'Hipóteses 2'!$H$7)*(1+'Hipóteses xerais (2)'!$C$47)</f>
        <v>#N/A</v>
      </c>
      <c r="Y12" s="644" t="e">
        <f>X12*(1+'Hipóteses 2'!$H$7)*(1+'Hipóteses xerais (2)'!$C$47)</f>
        <v>#N/A</v>
      </c>
      <c r="Z12" s="644" t="e">
        <f>Y12*(1+'Hipóteses 2'!$H$7)*(1+'Hipóteses xerais (2)'!$C$47)</f>
        <v>#N/A</v>
      </c>
      <c r="AA12" s="644" t="e">
        <f>Z12*(1+'Hipóteses 2'!$H$7)*(1+'Hipóteses xerais (2)'!$C$47)</f>
        <v>#N/A</v>
      </c>
      <c r="AB12" s="644" t="e">
        <f>AA12*(1+'Hipóteses 2'!$H$7)*(1+'Hipóteses xerais (2)'!$C$47)</f>
        <v>#N/A</v>
      </c>
      <c r="AC12" s="644" t="e">
        <f>AB12*(1+'Hipóteses 2'!$H$7)*(1+'Hipóteses xerais (2)'!$C$47)</f>
        <v>#N/A</v>
      </c>
      <c r="AD12" s="644" t="e">
        <f>AC12*(1+'Hipóteses 2'!$H$7)*(1+'Hipóteses xerais (2)'!$C$47)</f>
        <v>#N/A</v>
      </c>
      <c r="AE12" s="740" t="e">
        <f t="shared" si="0"/>
        <v>#N/A</v>
      </c>
    </row>
    <row r="13" spans="1:32" s="172" customFormat="1" x14ac:dyDescent="0.3">
      <c r="A13" s="742"/>
      <c r="C13" s="741" t="str">
        <f>'Estim. Ingresos'!$A37</f>
        <v>Total Ingresos por Cotas de Socios e Outros Servizos Complementarios</v>
      </c>
      <c r="D13" s="173" t="e">
        <f t="shared" ref="D13:AD13" si="1">SUM(D10:D12)</f>
        <v>#N/A</v>
      </c>
      <c r="E13" s="173">
        <f t="shared" si="1"/>
        <v>0</v>
      </c>
      <c r="F13" s="173" t="e">
        <f t="shared" si="1"/>
        <v>#N/A</v>
      </c>
      <c r="G13" s="173" t="e">
        <f t="shared" si="1"/>
        <v>#N/A</v>
      </c>
      <c r="H13" s="173" t="e">
        <f t="shared" si="1"/>
        <v>#N/A</v>
      </c>
      <c r="I13" s="173" t="e">
        <f t="shared" si="1"/>
        <v>#N/A</v>
      </c>
      <c r="J13" s="173" t="e">
        <f t="shared" si="1"/>
        <v>#N/A</v>
      </c>
      <c r="K13" s="173" t="e">
        <f t="shared" si="1"/>
        <v>#N/A</v>
      </c>
      <c r="L13" s="173" t="e">
        <f t="shared" si="1"/>
        <v>#N/A</v>
      </c>
      <c r="M13" s="173" t="e">
        <f t="shared" si="1"/>
        <v>#N/A</v>
      </c>
      <c r="N13" s="173" t="e">
        <f t="shared" si="1"/>
        <v>#N/A</v>
      </c>
      <c r="O13" s="173" t="e">
        <f t="shared" si="1"/>
        <v>#N/A</v>
      </c>
      <c r="P13" s="173" t="e">
        <f t="shared" si="1"/>
        <v>#N/A</v>
      </c>
      <c r="Q13" s="173" t="e">
        <f t="shared" si="1"/>
        <v>#N/A</v>
      </c>
      <c r="R13" s="173" t="e">
        <f t="shared" si="1"/>
        <v>#N/A</v>
      </c>
      <c r="S13" s="173" t="e">
        <f t="shared" si="1"/>
        <v>#N/A</v>
      </c>
      <c r="T13" s="173" t="e">
        <f t="shared" si="1"/>
        <v>#N/A</v>
      </c>
      <c r="U13" s="173" t="e">
        <f t="shared" si="1"/>
        <v>#N/A</v>
      </c>
      <c r="V13" s="173" t="e">
        <f t="shared" si="1"/>
        <v>#N/A</v>
      </c>
      <c r="W13" s="173" t="e">
        <f t="shared" si="1"/>
        <v>#N/A</v>
      </c>
      <c r="X13" s="173" t="e">
        <f t="shared" si="1"/>
        <v>#N/A</v>
      </c>
      <c r="Y13" s="173" t="e">
        <f t="shared" si="1"/>
        <v>#N/A</v>
      </c>
      <c r="Z13" s="173" t="e">
        <f t="shared" si="1"/>
        <v>#N/A</v>
      </c>
      <c r="AA13" s="173" t="e">
        <f t="shared" si="1"/>
        <v>#N/A</v>
      </c>
      <c r="AB13" s="173" t="e">
        <f t="shared" si="1"/>
        <v>#N/A</v>
      </c>
      <c r="AC13" s="173" t="e">
        <f t="shared" si="1"/>
        <v>#N/A</v>
      </c>
      <c r="AD13" s="173" t="e">
        <f t="shared" si="1"/>
        <v>#N/A</v>
      </c>
      <c r="AE13" s="740" t="e">
        <f t="shared" si="0"/>
        <v>#N/A</v>
      </c>
      <c r="AF13" s="173"/>
    </row>
    <row r="14" spans="1:32" s="10" customFormat="1" ht="28.8" x14ac:dyDescent="0.3">
      <c r="A14" s="739"/>
      <c r="B14" s="10">
        <v>746</v>
      </c>
      <c r="C14" s="729" t="s">
        <v>909</v>
      </c>
      <c r="D14" s="644" t="e">
        <f>IF('Hipóteses xerais (2)'!$E$64="Si",'Hipóteses xerais (2)'!$C$65,0)</f>
        <v>#N/A</v>
      </c>
      <c r="E14" s="644"/>
      <c r="F14" s="644" t="e">
        <f>IF('Hipóteses xerais (2)'!$E$64="Si",'Hipóteses xerais (2)'!$C$65,0)</f>
        <v>#N/A</v>
      </c>
      <c r="G14" s="644" t="e">
        <f>IF('Hipóteses xerais (2)'!$E$64="Si",'Hipóteses xerais (2)'!$C$65,0)</f>
        <v>#N/A</v>
      </c>
      <c r="H14" s="644" t="e">
        <f>IF('Hipóteses xerais (2)'!$E$64="Si",'Hipóteses xerais (2)'!$C$65,0)</f>
        <v>#N/A</v>
      </c>
      <c r="I14" s="644" t="e">
        <f>IF('Hipóteses xerais (2)'!$E$64="Si",'Hipóteses xerais (2)'!$C$65,0)</f>
        <v>#N/A</v>
      </c>
      <c r="J14" s="644" t="e">
        <f>IF('Hipóteses xerais (2)'!$E$64="Si",'Hipóteses xerais (2)'!$C$65,0)</f>
        <v>#N/A</v>
      </c>
      <c r="K14" s="644" t="e">
        <f>IF('Hipóteses xerais (2)'!$E$64="Si",'Hipóteses xerais (2)'!$C$65,0)</f>
        <v>#N/A</v>
      </c>
      <c r="L14" s="644" t="e">
        <f>IF('Hipóteses xerais (2)'!$E$64="Si",'Hipóteses xerais (2)'!$C$65,0)</f>
        <v>#N/A</v>
      </c>
      <c r="M14" s="644" t="e">
        <f>IF('Hipóteses xerais (2)'!$E$64="Si",'Hipóteses xerais (2)'!$C$65,0)</f>
        <v>#N/A</v>
      </c>
      <c r="N14" s="644" t="e">
        <f>IF('Hipóteses xerais (2)'!$E$64="Si",'Hipóteses xerais (2)'!$C$65,0)</f>
        <v>#N/A</v>
      </c>
      <c r="O14" s="644" t="e">
        <f>IF('Hipóteses xerais (2)'!$E$64="Si",'Hipóteses xerais (2)'!$C$65,0)</f>
        <v>#N/A</v>
      </c>
      <c r="P14" s="644" t="e">
        <f>IF('Hipóteses xerais (2)'!$E$64="Si",'Hipóteses xerais (2)'!$C$65,0)</f>
        <v>#N/A</v>
      </c>
      <c r="Q14" s="644" t="e">
        <f>IF('Hipóteses xerais (2)'!$E$64="Si",'Hipóteses xerais (2)'!$C$65,0)</f>
        <v>#N/A</v>
      </c>
      <c r="R14" s="644" t="e">
        <f>IF('Hipóteses xerais (2)'!$E$64="Si",'Hipóteses xerais (2)'!$C$65,0)</f>
        <v>#N/A</v>
      </c>
      <c r="S14" s="644" t="e">
        <f>IF('Hipóteses xerais (2)'!$E$64="Si",'Hipóteses xerais (2)'!$C$65,0)</f>
        <v>#N/A</v>
      </c>
      <c r="T14" s="644" t="e">
        <f>IF('Hipóteses xerais (2)'!$E$64="Si",'Hipóteses xerais (2)'!$C$65,0)</f>
        <v>#N/A</v>
      </c>
      <c r="U14" s="644" t="e">
        <f>IF('Hipóteses xerais (2)'!$E$64="Si",'Hipóteses xerais (2)'!$C$65,0)</f>
        <v>#N/A</v>
      </c>
      <c r="V14" s="644" t="e">
        <f>IF('Hipóteses xerais (2)'!$E$64="Si",'Hipóteses xerais (2)'!$C$65,0)</f>
        <v>#N/A</v>
      </c>
      <c r="W14" s="644" t="e">
        <f>IF('Hipóteses xerais (2)'!$E$64="Si",'Hipóteses xerais (2)'!$C$65,0)</f>
        <v>#N/A</v>
      </c>
      <c r="X14" s="644" t="e">
        <f>IF('Hipóteses xerais (2)'!$E$64="Si",'Hipóteses xerais (2)'!$C$65,0)</f>
        <v>#N/A</v>
      </c>
      <c r="Y14" s="644" t="e">
        <f>IF('Hipóteses xerais (2)'!$E$64="Si",'Hipóteses xerais (2)'!$C$65,0)</f>
        <v>#N/A</v>
      </c>
      <c r="Z14" s="644" t="e">
        <f>IF('Hipóteses xerais (2)'!$E$64="Si",'Hipóteses xerais (2)'!$C$65,0)</f>
        <v>#N/A</v>
      </c>
      <c r="AA14" s="644" t="e">
        <f>IF('Hipóteses xerais (2)'!$E$64="Si",'Hipóteses xerais (2)'!$C$65,0)</f>
        <v>#N/A</v>
      </c>
      <c r="AB14" s="644" t="e">
        <f>IF('Hipóteses xerais (2)'!$E$64="Si",'Hipóteses xerais (2)'!$C$65,0)</f>
        <v>#N/A</v>
      </c>
      <c r="AC14" s="644" t="e">
        <f>IF('Hipóteses xerais (2)'!$E$64="Si",'Hipóteses xerais (2)'!$C$65,0)</f>
        <v>#N/A</v>
      </c>
      <c r="AD14" s="644" t="e">
        <f>IF('Hipóteses xerais (2)'!$E$64="Si",'Hipóteses xerais (2)'!$C$65,0)</f>
        <v>#N/A</v>
      </c>
      <c r="AE14" s="728" t="e">
        <f t="shared" si="0"/>
        <v>#N/A</v>
      </c>
      <c r="AF14" s="644"/>
    </row>
    <row r="15" spans="1:32" s="13" customFormat="1" ht="15" thickBot="1" x14ac:dyDescent="0.35">
      <c r="A15" s="174" t="e">
        <f>SUM(F13:AD13)</f>
        <v>#N/A</v>
      </c>
      <c r="C15" s="738" t="s">
        <v>908</v>
      </c>
      <c r="D15" s="174" t="e">
        <f t="shared" ref="D15:AD15" si="2">D9+D13+D14</f>
        <v>#N/A</v>
      </c>
      <c r="E15" s="174">
        <f t="shared" si="2"/>
        <v>0</v>
      </c>
      <c r="F15" s="174" t="e">
        <f t="shared" si="2"/>
        <v>#N/A</v>
      </c>
      <c r="G15" s="174" t="e">
        <f t="shared" si="2"/>
        <v>#N/A</v>
      </c>
      <c r="H15" s="174" t="e">
        <f t="shared" si="2"/>
        <v>#N/A</v>
      </c>
      <c r="I15" s="174" t="e">
        <f t="shared" si="2"/>
        <v>#N/A</v>
      </c>
      <c r="J15" s="174" t="e">
        <f t="shared" si="2"/>
        <v>#N/A</v>
      </c>
      <c r="K15" s="174" t="e">
        <f t="shared" si="2"/>
        <v>#N/A</v>
      </c>
      <c r="L15" s="174" t="e">
        <f t="shared" si="2"/>
        <v>#N/A</v>
      </c>
      <c r="M15" s="174" t="e">
        <f t="shared" si="2"/>
        <v>#N/A</v>
      </c>
      <c r="N15" s="174" t="e">
        <f t="shared" si="2"/>
        <v>#N/A</v>
      </c>
      <c r="O15" s="174" t="e">
        <f t="shared" si="2"/>
        <v>#N/A</v>
      </c>
      <c r="P15" s="174" t="e">
        <f t="shared" si="2"/>
        <v>#N/A</v>
      </c>
      <c r="Q15" s="174" t="e">
        <f t="shared" si="2"/>
        <v>#N/A</v>
      </c>
      <c r="R15" s="174" t="e">
        <f t="shared" si="2"/>
        <v>#N/A</v>
      </c>
      <c r="S15" s="174" t="e">
        <f t="shared" si="2"/>
        <v>#N/A</v>
      </c>
      <c r="T15" s="174" t="e">
        <f t="shared" si="2"/>
        <v>#N/A</v>
      </c>
      <c r="U15" s="174" t="e">
        <f t="shared" si="2"/>
        <v>#N/A</v>
      </c>
      <c r="V15" s="174" t="e">
        <f t="shared" si="2"/>
        <v>#N/A</v>
      </c>
      <c r="W15" s="174" t="e">
        <f t="shared" si="2"/>
        <v>#N/A</v>
      </c>
      <c r="X15" s="174" t="e">
        <f t="shared" si="2"/>
        <v>#N/A</v>
      </c>
      <c r="Y15" s="174" t="e">
        <f t="shared" si="2"/>
        <v>#N/A</v>
      </c>
      <c r="Z15" s="174" t="e">
        <f t="shared" si="2"/>
        <v>#N/A</v>
      </c>
      <c r="AA15" s="174" t="e">
        <f t="shared" si="2"/>
        <v>#N/A</v>
      </c>
      <c r="AB15" s="174" t="e">
        <f t="shared" si="2"/>
        <v>#N/A</v>
      </c>
      <c r="AC15" s="174" t="e">
        <f t="shared" si="2"/>
        <v>#N/A</v>
      </c>
      <c r="AD15" s="174" t="e">
        <f t="shared" si="2"/>
        <v>#N/A</v>
      </c>
      <c r="AE15" s="722" t="e">
        <f t="shared" si="0"/>
        <v>#N/A</v>
      </c>
      <c r="AF15" s="174"/>
    </row>
    <row r="16" spans="1:32" ht="15.6" thickTop="1" thickBot="1" x14ac:dyDescent="0.35">
      <c r="A16">
        <v>0.05</v>
      </c>
      <c r="B16" s="13"/>
      <c r="C16" s="737" t="s">
        <v>907</v>
      </c>
      <c r="D16" s="708"/>
      <c r="E16" s="708"/>
      <c r="F16" s="736">
        <v>2025</v>
      </c>
      <c r="G16" s="736">
        <v>2026</v>
      </c>
      <c r="H16" s="736">
        <v>2027</v>
      </c>
      <c r="I16" s="736">
        <v>2028</v>
      </c>
      <c r="J16" s="736">
        <v>2029</v>
      </c>
      <c r="K16" s="736">
        <v>2030</v>
      </c>
      <c r="L16" s="736">
        <v>2031</v>
      </c>
      <c r="M16" s="736">
        <v>2032</v>
      </c>
      <c r="N16" s="736">
        <v>2033</v>
      </c>
      <c r="O16" s="736">
        <v>2034</v>
      </c>
      <c r="P16" s="736">
        <v>2035</v>
      </c>
      <c r="Q16" s="736">
        <v>2036</v>
      </c>
      <c r="R16" s="736">
        <v>2037</v>
      </c>
      <c r="S16" s="736">
        <v>2038</v>
      </c>
      <c r="T16" s="736">
        <v>2039</v>
      </c>
      <c r="U16" s="736">
        <v>2040</v>
      </c>
      <c r="V16" s="736">
        <v>2041</v>
      </c>
      <c r="W16" s="736">
        <v>2042</v>
      </c>
      <c r="X16" s="736">
        <v>2043</v>
      </c>
      <c r="Y16" s="736">
        <v>2044</v>
      </c>
      <c r="Z16" s="736">
        <v>2045</v>
      </c>
      <c r="AA16" s="736">
        <v>2046</v>
      </c>
      <c r="AB16" s="736">
        <v>2047</v>
      </c>
      <c r="AC16" s="736">
        <v>2048</v>
      </c>
      <c r="AD16" s="736">
        <v>2049</v>
      </c>
      <c r="AE16" s="735" t="s">
        <v>906</v>
      </c>
    </row>
    <row r="17" spans="2:31" ht="15" thickTop="1" x14ac:dyDescent="0.3">
      <c r="B17">
        <v>602</v>
      </c>
      <c r="C17" s="734" t="s">
        <v>212</v>
      </c>
      <c r="D17" s="145" t="e">
        <f>'Estim. Gastos'!$F$7</f>
        <v>#N/A</v>
      </c>
      <c r="E17" s="145"/>
      <c r="F17" s="731" t="e">
        <f>D17</f>
        <v>#N/A</v>
      </c>
      <c r="G17" s="731" t="e">
        <f>F17</f>
        <v>#N/A</v>
      </c>
      <c r="H17" s="731" t="e">
        <f>G17*(1+'Hipóteses xerais (2)'!$C$40)</f>
        <v>#N/A</v>
      </c>
      <c r="I17" s="731" t="e">
        <f>H17*(1+'Hipóteses xerais (2)'!$C$40)</f>
        <v>#N/A</v>
      </c>
      <c r="J17" s="731" t="e">
        <f>I17*(1+'Hipóteses xerais (2)'!$C$40)</f>
        <v>#N/A</v>
      </c>
      <c r="K17" s="731" t="e">
        <f>J17*(1+'Hipóteses xerais (2)'!$C$40)</f>
        <v>#N/A</v>
      </c>
      <c r="L17" s="731" t="e">
        <f>K17*(1+'Hipóteses xerais (2)'!$C$40)</f>
        <v>#N/A</v>
      </c>
      <c r="M17" s="731" t="e">
        <f>L17*(1+'Hipóteses xerais (2)'!$C$40)</f>
        <v>#N/A</v>
      </c>
      <c r="N17" s="731" t="e">
        <f>M17*(1+'Hipóteses xerais (2)'!$C$40)</f>
        <v>#N/A</v>
      </c>
      <c r="O17" s="731" t="e">
        <f>N17*(1+'Hipóteses xerais (2)'!$C$40)</f>
        <v>#N/A</v>
      </c>
      <c r="P17" s="731" t="e">
        <f>O17*(1+'Hipóteses xerais (2)'!$C$40)</f>
        <v>#N/A</v>
      </c>
      <c r="Q17" s="731" t="e">
        <f>P17*(1+'Hipóteses xerais (2)'!$C$40)</f>
        <v>#N/A</v>
      </c>
      <c r="R17" s="731" t="e">
        <f>Q17*(1+'Hipóteses xerais (2)'!$C$40)</f>
        <v>#N/A</v>
      </c>
      <c r="S17" s="731" t="e">
        <f>R17*(1+'Hipóteses xerais (2)'!$C$40)</f>
        <v>#N/A</v>
      </c>
      <c r="T17" s="731" t="e">
        <f>S17*(1+'Hipóteses xerais (2)'!$C$40)</f>
        <v>#N/A</v>
      </c>
      <c r="U17" s="731" t="e">
        <f>T17*(1+'Hipóteses xerais (2)'!$C$40)</f>
        <v>#N/A</v>
      </c>
      <c r="V17" s="731" t="e">
        <f>U17*(1+'Hipóteses xerais (2)'!$C$40)</f>
        <v>#N/A</v>
      </c>
      <c r="W17" s="731" t="e">
        <f>V17*(1+'Hipóteses xerais (2)'!$C$40)</f>
        <v>#N/A</v>
      </c>
      <c r="X17" s="731" t="e">
        <f>W17*(1+'Hipóteses xerais (2)'!$C$40)</f>
        <v>#N/A</v>
      </c>
      <c r="Y17" s="731" t="e">
        <f>X17*(1+'Hipóteses xerais (2)'!$C$40)</f>
        <v>#N/A</v>
      </c>
      <c r="Z17" s="731" t="e">
        <f>Y17*(1+'Hipóteses xerais (2)'!$C$40)</f>
        <v>#N/A</v>
      </c>
      <c r="AA17" s="731" t="e">
        <f>Z17*(1+'Hipóteses xerais (2)'!$C$40)</f>
        <v>#N/A</v>
      </c>
      <c r="AB17" s="731" t="e">
        <f>AA17*(1+'Hipóteses xerais (2)'!$C$40)</f>
        <v>#N/A</v>
      </c>
      <c r="AC17" s="731" t="e">
        <f>AB17*(1+'Hipóteses xerais (2)'!$C$40)</f>
        <v>#N/A</v>
      </c>
      <c r="AD17" s="731" t="e">
        <f>AC17*(1+'Hipóteses xerais (2)'!$C$40)</f>
        <v>#N/A</v>
      </c>
      <c r="AE17" s="733" t="e">
        <f t="shared" ref="AE17:AE50" si="3">SUM(F17:AD17)</f>
        <v>#N/A</v>
      </c>
    </row>
    <row r="18" spans="2:31" x14ac:dyDescent="0.3">
      <c r="B18">
        <v>607</v>
      </c>
      <c r="C18" s="732" t="s">
        <v>266</v>
      </c>
      <c r="D18" s="145" t="e">
        <f>'Estim. Gastos'!F13</f>
        <v>#N/A</v>
      </c>
      <c r="E18" s="145"/>
      <c r="F18" s="731" t="e">
        <f>D18</f>
        <v>#N/A</v>
      </c>
      <c r="G18" s="731" t="e">
        <f>F18</f>
        <v>#N/A</v>
      </c>
      <c r="H18" s="731" t="e">
        <f>G18*(1+'Hipóteses xerais (2)'!$C$40)</f>
        <v>#N/A</v>
      </c>
      <c r="I18" s="731" t="e">
        <f>H18*(1+'Hipóteses xerais (2)'!$C$40)</f>
        <v>#N/A</v>
      </c>
      <c r="J18" s="731" t="e">
        <f>I18*(1+'Hipóteses xerais (2)'!$C$40)</f>
        <v>#N/A</v>
      </c>
      <c r="K18" s="731" t="e">
        <f>J18*(1+'Hipóteses xerais (2)'!$C$40)</f>
        <v>#N/A</v>
      </c>
      <c r="L18" s="731" t="e">
        <f>K18*(1+'Hipóteses xerais (2)'!$C$40)</f>
        <v>#N/A</v>
      </c>
      <c r="M18" s="731" t="e">
        <f>L18*(1+'Hipóteses xerais (2)'!$C$40)</f>
        <v>#N/A</v>
      </c>
      <c r="N18" s="731" t="e">
        <f>M18*(1+'Hipóteses xerais (2)'!$C$40)</f>
        <v>#N/A</v>
      </c>
      <c r="O18" s="731" t="e">
        <f>N18*(1+'Hipóteses xerais (2)'!$C$40)</f>
        <v>#N/A</v>
      </c>
      <c r="P18" s="731" t="e">
        <f>O18*(1+'Hipóteses xerais (2)'!$C$40)</f>
        <v>#N/A</v>
      </c>
      <c r="Q18" s="731" t="e">
        <f>P18*(1+'Hipóteses xerais (2)'!$C$40)</f>
        <v>#N/A</v>
      </c>
      <c r="R18" s="731" t="e">
        <f>Q18*(1+'Hipóteses xerais (2)'!$C$40)</f>
        <v>#N/A</v>
      </c>
      <c r="S18" s="731" t="e">
        <f>R18*(1+'Hipóteses xerais (2)'!$C$40)</f>
        <v>#N/A</v>
      </c>
      <c r="T18" s="731" t="e">
        <f>S18*(1+'Hipóteses xerais (2)'!$C$40)</f>
        <v>#N/A</v>
      </c>
      <c r="U18" s="731" t="e">
        <f>T18*(1+'Hipóteses xerais (2)'!$C$40)</f>
        <v>#N/A</v>
      </c>
      <c r="V18" s="731" t="e">
        <f>U18*(1+'Hipóteses xerais (2)'!$C$40)</f>
        <v>#N/A</v>
      </c>
      <c r="W18" s="731" t="e">
        <f>V18*(1+'Hipóteses xerais (2)'!$C$40)</f>
        <v>#N/A</v>
      </c>
      <c r="X18" s="731" t="e">
        <f>W18*(1+'Hipóteses xerais (2)'!$C$40)</f>
        <v>#N/A</v>
      </c>
      <c r="Y18" s="731" t="e">
        <f>X18*(1+'Hipóteses xerais (2)'!$C$40)</f>
        <v>#N/A</v>
      </c>
      <c r="Z18" s="731" t="e">
        <f>Y18*(1+'Hipóteses xerais (2)'!$C$40)</f>
        <v>#N/A</v>
      </c>
      <c r="AA18" s="731" t="e">
        <f>Z18*(1+'Hipóteses xerais (2)'!$C$40)</f>
        <v>#N/A</v>
      </c>
      <c r="AB18" s="731" t="e">
        <f>AA18*(1+'Hipóteses xerais (2)'!$C$40)</f>
        <v>#N/A</v>
      </c>
      <c r="AC18" s="731" t="e">
        <f>AB18*(1+'Hipóteses xerais (2)'!$C$40)</f>
        <v>#N/A</v>
      </c>
      <c r="AD18" s="731" t="e">
        <f>AC18*(1+'Hipóteses xerais (2)'!$C$40)</f>
        <v>#N/A</v>
      </c>
      <c r="AE18" s="671" t="e">
        <f t="shared" si="3"/>
        <v>#N/A</v>
      </c>
    </row>
    <row r="19" spans="2:31" s="13" customFormat="1" x14ac:dyDescent="0.3">
      <c r="B19" s="13">
        <v>60</v>
      </c>
      <c r="C19" s="730" t="s">
        <v>905</v>
      </c>
      <c r="D19" s="174" t="e">
        <f t="shared" ref="D19:AD19" si="4">SUM(D17:D18)</f>
        <v>#N/A</v>
      </c>
      <c r="E19" s="174">
        <f t="shared" si="4"/>
        <v>0</v>
      </c>
      <c r="F19" s="174" t="e">
        <f t="shared" si="4"/>
        <v>#N/A</v>
      </c>
      <c r="G19" s="174" t="e">
        <f t="shared" si="4"/>
        <v>#N/A</v>
      </c>
      <c r="H19" s="174" t="e">
        <f t="shared" si="4"/>
        <v>#N/A</v>
      </c>
      <c r="I19" s="174" t="e">
        <f t="shared" si="4"/>
        <v>#N/A</v>
      </c>
      <c r="J19" s="174" t="e">
        <f t="shared" si="4"/>
        <v>#N/A</v>
      </c>
      <c r="K19" s="174" t="e">
        <f t="shared" si="4"/>
        <v>#N/A</v>
      </c>
      <c r="L19" s="174" t="e">
        <f t="shared" si="4"/>
        <v>#N/A</v>
      </c>
      <c r="M19" s="174" t="e">
        <f t="shared" si="4"/>
        <v>#N/A</v>
      </c>
      <c r="N19" s="174" t="e">
        <f t="shared" si="4"/>
        <v>#N/A</v>
      </c>
      <c r="O19" s="174" t="e">
        <f t="shared" si="4"/>
        <v>#N/A</v>
      </c>
      <c r="P19" s="174" t="e">
        <f t="shared" si="4"/>
        <v>#N/A</v>
      </c>
      <c r="Q19" s="174" t="e">
        <f t="shared" si="4"/>
        <v>#N/A</v>
      </c>
      <c r="R19" s="174" t="e">
        <f t="shared" si="4"/>
        <v>#N/A</v>
      </c>
      <c r="S19" s="174" t="e">
        <f t="shared" si="4"/>
        <v>#N/A</v>
      </c>
      <c r="T19" s="174" t="e">
        <f t="shared" si="4"/>
        <v>#N/A</v>
      </c>
      <c r="U19" s="174" t="e">
        <f t="shared" si="4"/>
        <v>#N/A</v>
      </c>
      <c r="V19" s="174" t="e">
        <f t="shared" si="4"/>
        <v>#N/A</v>
      </c>
      <c r="W19" s="174" t="e">
        <f t="shared" si="4"/>
        <v>#N/A</v>
      </c>
      <c r="X19" s="174" t="e">
        <f t="shared" si="4"/>
        <v>#N/A</v>
      </c>
      <c r="Y19" s="174" t="e">
        <f t="shared" si="4"/>
        <v>#N/A</v>
      </c>
      <c r="Z19" s="174" t="e">
        <f t="shared" si="4"/>
        <v>#N/A</v>
      </c>
      <c r="AA19" s="174" t="e">
        <f t="shared" si="4"/>
        <v>#N/A</v>
      </c>
      <c r="AB19" s="174" t="e">
        <f t="shared" si="4"/>
        <v>#N/A</v>
      </c>
      <c r="AC19" s="174" t="e">
        <f t="shared" si="4"/>
        <v>#N/A</v>
      </c>
      <c r="AD19" s="174" t="e">
        <f t="shared" si="4"/>
        <v>#N/A</v>
      </c>
      <c r="AE19" s="722" t="e">
        <f t="shared" si="3"/>
        <v>#N/A</v>
      </c>
    </row>
    <row r="20" spans="2:31" x14ac:dyDescent="0.3">
      <c r="B20">
        <v>640</v>
      </c>
      <c r="C20" s="166" t="s">
        <v>904</v>
      </c>
      <c r="D20" s="145" t="e">
        <f>'Estim. Gastos'!$F$17</f>
        <v>#N/A</v>
      </c>
      <c r="E20" s="145"/>
      <c r="F20" s="145" t="e">
        <f>D20</f>
        <v>#N/A</v>
      </c>
      <c r="G20" s="145" t="e">
        <f>F20</f>
        <v>#N/A</v>
      </c>
      <c r="H20" s="145" t="e">
        <f>G20*(1+'Hipóteses xerais (2)'!$C$40)</f>
        <v>#N/A</v>
      </c>
      <c r="I20" s="145" t="e">
        <f>H20*(1+'Hipóteses xerais (2)'!$C$40)</f>
        <v>#N/A</v>
      </c>
      <c r="J20" s="145" t="e">
        <f>I20*(1+'Hipóteses xerais (2)'!$C$40)</f>
        <v>#N/A</v>
      </c>
      <c r="K20" s="145" t="e">
        <f>J20*(1+'Hipóteses xerais (2)'!$C$40)</f>
        <v>#N/A</v>
      </c>
      <c r="L20" s="145" t="e">
        <f>K20*(1+'Hipóteses xerais (2)'!$C$40)</f>
        <v>#N/A</v>
      </c>
      <c r="M20" s="145" t="e">
        <f>L20*(1+'Hipóteses xerais (2)'!$C$40)</f>
        <v>#N/A</v>
      </c>
      <c r="N20" s="145" t="e">
        <f>M20*(1+'Hipóteses xerais (2)'!$C$40)</f>
        <v>#N/A</v>
      </c>
      <c r="O20" s="145" t="e">
        <f>N20*(1+'Hipóteses xerais (2)'!$C$40)</f>
        <v>#N/A</v>
      </c>
      <c r="P20" s="145" t="e">
        <f>O20*(1+'Hipóteses xerais (2)'!$C$40)</f>
        <v>#N/A</v>
      </c>
      <c r="Q20" s="145" t="e">
        <f>P20*(1+'Hipóteses xerais (2)'!$C$40)</f>
        <v>#N/A</v>
      </c>
      <c r="R20" s="145" t="e">
        <f>Q20*(1+'Hipóteses xerais (2)'!$C$40)</f>
        <v>#N/A</v>
      </c>
      <c r="S20" s="145" t="e">
        <f>R20*(1+'Hipóteses xerais (2)'!$C$40)</f>
        <v>#N/A</v>
      </c>
      <c r="T20" s="145" t="e">
        <f>S20*(1+'Hipóteses xerais (2)'!$C$40)</f>
        <v>#N/A</v>
      </c>
      <c r="U20" s="145" t="e">
        <f>T20*(1+'Hipóteses xerais (2)'!$C$40)</f>
        <v>#N/A</v>
      </c>
      <c r="V20" s="145" t="e">
        <f>U20*(1+'Hipóteses xerais (2)'!$C$40)</f>
        <v>#N/A</v>
      </c>
      <c r="W20" s="145" t="e">
        <f>V20*(1+'Hipóteses xerais (2)'!$C$40)</f>
        <v>#N/A</v>
      </c>
      <c r="X20" s="145" t="e">
        <f>W20*(1+'Hipóteses xerais (2)'!$C$40)</f>
        <v>#N/A</v>
      </c>
      <c r="Y20" s="145" t="e">
        <f>X20*(1+'Hipóteses xerais (2)'!$C$40)</f>
        <v>#N/A</v>
      </c>
      <c r="Z20" s="145" t="e">
        <f>Y20*(1+'Hipóteses xerais (2)'!$C$40)</f>
        <v>#N/A</v>
      </c>
      <c r="AA20" s="145" t="e">
        <f>Z20*(1+'Hipóteses xerais (2)'!$C$40)</f>
        <v>#N/A</v>
      </c>
      <c r="AB20" s="145" t="e">
        <f>AA20*(1+'Hipóteses xerais (2)'!$C$40)</f>
        <v>#N/A</v>
      </c>
      <c r="AC20" s="145" t="e">
        <f>AB20*(1+'Hipóteses xerais (2)'!$C$40)</f>
        <v>#N/A</v>
      </c>
      <c r="AD20" s="145" t="e">
        <f>AC20*(1+'Hipóteses xerais (2)'!$C$40)</f>
        <v>#N/A</v>
      </c>
      <c r="AE20" s="671" t="e">
        <f t="shared" si="3"/>
        <v>#N/A</v>
      </c>
    </row>
    <row r="21" spans="2:31" x14ac:dyDescent="0.3">
      <c r="B21">
        <v>642</v>
      </c>
      <c r="C21" s="166" t="s">
        <v>283</v>
      </c>
      <c r="D21" s="145" t="e">
        <f>'Estim. Gastos'!$F$18</f>
        <v>#N/A</v>
      </c>
      <c r="E21" s="145"/>
      <c r="F21" s="145" t="e">
        <f>D21</f>
        <v>#N/A</v>
      </c>
      <c r="G21" s="145" t="e">
        <f>F21</f>
        <v>#N/A</v>
      </c>
      <c r="H21" s="145" t="e">
        <f>G21*(1+'Hipóteses xerais (2)'!$C$40)</f>
        <v>#N/A</v>
      </c>
      <c r="I21" s="145" t="e">
        <f>H21*(1+'Hipóteses xerais (2)'!$C$40)</f>
        <v>#N/A</v>
      </c>
      <c r="J21" s="145" t="e">
        <f>I21*(1+'Hipóteses xerais (2)'!$C$40)</f>
        <v>#N/A</v>
      </c>
      <c r="K21" s="145" t="e">
        <f>J21*(1+'Hipóteses xerais (2)'!$C$40)</f>
        <v>#N/A</v>
      </c>
      <c r="L21" s="145" t="e">
        <f>K21*(1+'Hipóteses xerais (2)'!$C$40)</f>
        <v>#N/A</v>
      </c>
      <c r="M21" s="145" t="e">
        <f>L21*(1+'Hipóteses xerais (2)'!$C$40)</f>
        <v>#N/A</v>
      </c>
      <c r="N21" s="145" t="e">
        <f>M21*(1+'Hipóteses xerais (2)'!$C$40)</f>
        <v>#N/A</v>
      </c>
      <c r="O21" s="145" t="e">
        <f>N21*(1+'Hipóteses xerais (2)'!$C$40)</f>
        <v>#N/A</v>
      </c>
      <c r="P21" s="145" t="e">
        <f>O21*(1+'Hipóteses xerais (2)'!$C$40)</f>
        <v>#N/A</v>
      </c>
      <c r="Q21" s="145" t="e">
        <f>P21*(1+'Hipóteses xerais (2)'!$C$40)</f>
        <v>#N/A</v>
      </c>
      <c r="R21" s="145" t="e">
        <f>Q21*(1+'Hipóteses xerais (2)'!$C$40)</f>
        <v>#N/A</v>
      </c>
      <c r="S21" s="145" t="e">
        <f>R21*(1+'Hipóteses xerais (2)'!$C$40)</f>
        <v>#N/A</v>
      </c>
      <c r="T21" s="145" t="e">
        <f>S21*(1+'Hipóteses xerais (2)'!$C$40)</f>
        <v>#N/A</v>
      </c>
      <c r="U21" s="145" t="e">
        <f>T21*(1+'Hipóteses xerais (2)'!$C$40)</f>
        <v>#N/A</v>
      </c>
      <c r="V21" s="145" t="e">
        <f>U21*(1+'Hipóteses xerais (2)'!$C$40)</f>
        <v>#N/A</v>
      </c>
      <c r="W21" s="145" t="e">
        <f>V21*(1+'Hipóteses xerais (2)'!$C$40)</f>
        <v>#N/A</v>
      </c>
      <c r="X21" s="145" t="e">
        <f>W21*(1+'Hipóteses xerais (2)'!$C$40)</f>
        <v>#N/A</v>
      </c>
      <c r="Y21" s="145" t="e">
        <f>X21*(1+'Hipóteses xerais (2)'!$C$40)</f>
        <v>#N/A</v>
      </c>
      <c r="Z21" s="145" t="e">
        <f>Y21*(1+'Hipóteses xerais (2)'!$C$40)</f>
        <v>#N/A</v>
      </c>
      <c r="AA21" s="145" t="e">
        <f>Z21*(1+'Hipóteses xerais (2)'!$C$40)</f>
        <v>#N/A</v>
      </c>
      <c r="AB21" s="145" t="e">
        <f>AA21*(1+'Hipóteses xerais (2)'!$C$40)</f>
        <v>#N/A</v>
      </c>
      <c r="AC21" s="145" t="e">
        <f>AB21*(1+'Hipóteses xerais (2)'!$C$40)</f>
        <v>#N/A</v>
      </c>
      <c r="AD21" s="145" t="e">
        <f>AC21*(1+'Hipóteses xerais (2)'!$C$40)</f>
        <v>#N/A</v>
      </c>
      <c r="AE21" s="671" t="e">
        <f t="shared" si="3"/>
        <v>#N/A</v>
      </c>
    </row>
    <row r="22" spans="2:31" x14ac:dyDescent="0.3">
      <c r="B22">
        <v>649</v>
      </c>
      <c r="C22" s="166" t="s">
        <v>286</v>
      </c>
      <c r="D22" s="145" t="e">
        <f>'Estim. Gastos'!$F$19</f>
        <v>#N/A</v>
      </c>
      <c r="F22" s="145" t="e">
        <f>D22</f>
        <v>#N/A</v>
      </c>
      <c r="G22" s="145" t="e">
        <f>F22</f>
        <v>#N/A</v>
      </c>
      <c r="H22" s="145" t="e">
        <f>G22*(1+'Hipóteses xerais (2)'!$C$40)</f>
        <v>#N/A</v>
      </c>
      <c r="I22" s="145" t="e">
        <f>H22*(1+'Hipóteses xerais (2)'!$C$40)</f>
        <v>#N/A</v>
      </c>
      <c r="J22" s="145" t="e">
        <f>I22*(1+'Hipóteses xerais (2)'!$C$40)</f>
        <v>#N/A</v>
      </c>
      <c r="K22" s="145" t="e">
        <f>J22*(1+'Hipóteses xerais (2)'!$C$40)</f>
        <v>#N/A</v>
      </c>
      <c r="L22" s="145" t="e">
        <f>K22*(1+'Hipóteses xerais (2)'!$C$40)</f>
        <v>#N/A</v>
      </c>
      <c r="M22" s="145" t="e">
        <f>L22*(1+'Hipóteses xerais (2)'!$C$40)</f>
        <v>#N/A</v>
      </c>
      <c r="N22" s="145" t="e">
        <f>M22*(1+'Hipóteses xerais (2)'!$C$40)</f>
        <v>#N/A</v>
      </c>
      <c r="O22" s="145" t="e">
        <f>N22*(1+'Hipóteses xerais (2)'!$C$40)</f>
        <v>#N/A</v>
      </c>
      <c r="P22" s="145" t="e">
        <f>O22*(1+'Hipóteses xerais (2)'!$C$40)</f>
        <v>#N/A</v>
      </c>
      <c r="Q22" s="145" t="e">
        <f>P22*(1+'Hipóteses xerais (2)'!$C$40)</f>
        <v>#N/A</v>
      </c>
      <c r="R22" s="145" t="e">
        <f>Q22*(1+'Hipóteses xerais (2)'!$C$40)</f>
        <v>#N/A</v>
      </c>
      <c r="S22" s="145" t="e">
        <f>R22*(1+'Hipóteses xerais (2)'!$C$40)</f>
        <v>#N/A</v>
      </c>
      <c r="T22" s="145" t="e">
        <f>S22*(1+'Hipóteses xerais (2)'!$C$40)</f>
        <v>#N/A</v>
      </c>
      <c r="U22" s="145" t="e">
        <f>T22*(1+'Hipóteses xerais (2)'!$C$40)</f>
        <v>#N/A</v>
      </c>
      <c r="V22" s="145" t="e">
        <f>U22*(1+'Hipóteses xerais (2)'!$C$40)</f>
        <v>#N/A</v>
      </c>
      <c r="W22" s="145" t="e">
        <f>V22*(1+'Hipóteses xerais (2)'!$C$40)</f>
        <v>#N/A</v>
      </c>
      <c r="X22" s="145" t="e">
        <f>W22*(1+'Hipóteses xerais (2)'!$C$40)</f>
        <v>#N/A</v>
      </c>
      <c r="Y22" s="145" t="e">
        <f>X22*(1+'Hipóteses xerais (2)'!$C$40)</f>
        <v>#N/A</v>
      </c>
      <c r="Z22" s="145" t="e">
        <f>Y22*(1+'Hipóteses xerais (2)'!$C$40)</f>
        <v>#N/A</v>
      </c>
      <c r="AA22" s="145" t="e">
        <f>Z22*(1+'Hipóteses xerais (2)'!$C$40)</f>
        <v>#N/A</v>
      </c>
      <c r="AB22" s="145" t="e">
        <f>AA22*(1+'Hipóteses xerais (2)'!$C$40)</f>
        <v>#N/A</v>
      </c>
      <c r="AC22" s="145" t="e">
        <f>AB22*(1+'Hipóteses xerais (2)'!$C$40)</f>
        <v>#N/A</v>
      </c>
      <c r="AD22" s="145" t="e">
        <f>AC22*(1+'Hipóteses xerais (2)'!$C$40)</f>
        <v>#N/A</v>
      </c>
      <c r="AE22" s="671" t="e">
        <f t="shared" si="3"/>
        <v>#N/A</v>
      </c>
    </row>
    <row r="23" spans="2:31" s="13" customFormat="1" x14ac:dyDescent="0.3">
      <c r="B23" s="13">
        <v>64</v>
      </c>
      <c r="C23" s="714" t="s">
        <v>903</v>
      </c>
      <c r="D23" s="174" t="e">
        <f t="shared" ref="D23:AD23" si="5">SUM(D20:D22)</f>
        <v>#N/A</v>
      </c>
      <c r="E23" s="174">
        <f t="shared" si="5"/>
        <v>0</v>
      </c>
      <c r="F23" s="174" t="e">
        <f t="shared" si="5"/>
        <v>#N/A</v>
      </c>
      <c r="G23" s="174" t="e">
        <f t="shared" si="5"/>
        <v>#N/A</v>
      </c>
      <c r="H23" s="174" t="e">
        <f t="shared" si="5"/>
        <v>#N/A</v>
      </c>
      <c r="I23" s="174" t="e">
        <f t="shared" si="5"/>
        <v>#N/A</v>
      </c>
      <c r="J23" s="174" t="e">
        <f t="shared" si="5"/>
        <v>#N/A</v>
      </c>
      <c r="K23" s="174" t="e">
        <f t="shared" si="5"/>
        <v>#N/A</v>
      </c>
      <c r="L23" s="174" t="e">
        <f t="shared" si="5"/>
        <v>#N/A</v>
      </c>
      <c r="M23" s="174" t="e">
        <f t="shared" si="5"/>
        <v>#N/A</v>
      </c>
      <c r="N23" s="174" t="e">
        <f t="shared" si="5"/>
        <v>#N/A</v>
      </c>
      <c r="O23" s="174" t="e">
        <f t="shared" si="5"/>
        <v>#N/A</v>
      </c>
      <c r="P23" s="174" t="e">
        <f t="shared" si="5"/>
        <v>#N/A</v>
      </c>
      <c r="Q23" s="174" t="e">
        <f t="shared" si="5"/>
        <v>#N/A</v>
      </c>
      <c r="R23" s="174" t="e">
        <f t="shared" si="5"/>
        <v>#N/A</v>
      </c>
      <c r="S23" s="174" t="e">
        <f t="shared" si="5"/>
        <v>#N/A</v>
      </c>
      <c r="T23" s="174" t="e">
        <f t="shared" si="5"/>
        <v>#N/A</v>
      </c>
      <c r="U23" s="174" t="e">
        <f t="shared" si="5"/>
        <v>#N/A</v>
      </c>
      <c r="V23" s="174" t="e">
        <f t="shared" si="5"/>
        <v>#N/A</v>
      </c>
      <c r="W23" s="174" t="e">
        <f t="shared" si="5"/>
        <v>#N/A</v>
      </c>
      <c r="X23" s="174" t="e">
        <f t="shared" si="5"/>
        <v>#N/A</v>
      </c>
      <c r="Y23" s="174" t="e">
        <f t="shared" si="5"/>
        <v>#N/A</v>
      </c>
      <c r="Z23" s="174" t="e">
        <f t="shared" si="5"/>
        <v>#N/A</v>
      </c>
      <c r="AA23" s="174" t="e">
        <f t="shared" si="5"/>
        <v>#N/A</v>
      </c>
      <c r="AB23" s="174" t="e">
        <f t="shared" si="5"/>
        <v>#N/A</v>
      </c>
      <c r="AC23" s="174" t="e">
        <f t="shared" si="5"/>
        <v>#N/A</v>
      </c>
      <c r="AD23" s="174" t="e">
        <f t="shared" si="5"/>
        <v>#N/A</v>
      </c>
      <c r="AE23" s="722" t="e">
        <f t="shared" si="3"/>
        <v>#N/A</v>
      </c>
    </row>
    <row r="24" spans="2:31" x14ac:dyDescent="0.3">
      <c r="B24">
        <v>621</v>
      </c>
      <c r="C24" s="166" t="s">
        <v>338</v>
      </c>
      <c r="D24" s="145">
        <f>'Estim. Gastos'!$F$31</f>
        <v>480</v>
      </c>
      <c r="E24" s="145"/>
      <c r="F24" s="145">
        <f t="shared" ref="F24:F32" si="6">D24</f>
        <v>480</v>
      </c>
      <c r="G24" s="145">
        <f t="shared" ref="G24:G32" si="7">F24</f>
        <v>480</v>
      </c>
      <c r="H24" s="145">
        <f>G24*(1+'Hipóteses xerais (2)'!$C$42)</f>
        <v>495.36</v>
      </c>
      <c r="I24" s="145">
        <f>H24*(1+'Hipóteses xerais (2)'!$C$42)</f>
        <v>511.21152000000001</v>
      </c>
      <c r="J24" s="145">
        <f>I24*(1+'Hipóteses xerais (2)'!$C$42)</f>
        <v>527.57028864000006</v>
      </c>
      <c r="K24" s="145">
        <f>J24*(1+'Hipóteses xerais (2)'!$C$42)</f>
        <v>544.45253787648005</v>
      </c>
      <c r="L24" s="145">
        <f>K24*(1+'Hipóteses xerais (2)'!$C$42)</f>
        <v>561.87501908852744</v>
      </c>
      <c r="M24" s="145">
        <f>L24*(1+'Hipóteses xerais (2)'!$C$42)</f>
        <v>579.85501969936035</v>
      </c>
      <c r="N24" s="145">
        <f>M24*(1+'Hipóteses xerais (2)'!$C$42)</f>
        <v>598.41038032973995</v>
      </c>
      <c r="O24" s="145">
        <f>N24*(1+'Hipóteses xerais (2)'!$C$42)</f>
        <v>617.5595125002917</v>
      </c>
      <c r="P24" s="145">
        <f>O24*(1+'Hipóteses xerais (2)'!$C$42)</f>
        <v>637.32141690030107</v>
      </c>
      <c r="Q24" s="145">
        <f>P24*(1+'Hipóteses xerais (2)'!$C$42)</f>
        <v>657.71570224111076</v>
      </c>
      <c r="R24" s="145">
        <f>Q24*(1+'Hipóteses xerais (2)'!$C$42)</f>
        <v>678.76260471282637</v>
      </c>
      <c r="S24" s="145">
        <f>R24*(1+'Hipóteses xerais (2)'!$C$42)</f>
        <v>700.48300806363682</v>
      </c>
      <c r="T24" s="145">
        <f>S24*(1+'Hipóteses xerais (2)'!$C$42)</f>
        <v>722.89846432167326</v>
      </c>
      <c r="U24" s="145">
        <f>T24*(1+'Hipóteses xerais (2)'!$C$42)</f>
        <v>746.03121517996681</v>
      </c>
      <c r="V24" s="145">
        <f>U24*(1+'Hipóteses xerais (2)'!$C$42)</f>
        <v>769.9042140657258</v>
      </c>
      <c r="W24" s="145">
        <f>V24*(1+'Hipóteses xerais (2)'!$C$42)</f>
        <v>794.54114891582901</v>
      </c>
      <c r="X24" s="145">
        <f>W24*(1+'Hipóteses xerais (2)'!$C$42)</f>
        <v>819.96646568113556</v>
      </c>
      <c r="Y24" s="145">
        <f>X24*(1+'Hipóteses xerais (2)'!$C$42)</f>
        <v>846.20539258293195</v>
      </c>
      <c r="Z24" s="145">
        <f>Y24*(1+'Hipóteses xerais (2)'!$C$42)</f>
        <v>873.28396514558574</v>
      </c>
      <c r="AA24" s="145">
        <f>Z24*(1+'Hipóteses xerais (2)'!$C$42)</f>
        <v>901.22905203024447</v>
      </c>
      <c r="AB24" s="145">
        <f>AA24*(1+'Hipóteses xerais (2)'!$C$42)</f>
        <v>930.06838169521234</v>
      </c>
      <c r="AC24" s="145">
        <f>AB24*(1+'Hipóteses xerais (2)'!$C$42)</f>
        <v>959.8305699094592</v>
      </c>
      <c r="AD24" s="145">
        <f>AC24*(1+'Hipóteses xerais (2)'!$C$42)</f>
        <v>990.54514814656193</v>
      </c>
      <c r="AE24" s="671">
        <f t="shared" si="3"/>
        <v>17425.081027726599</v>
      </c>
    </row>
    <row r="25" spans="2:31" x14ac:dyDescent="0.3">
      <c r="B25">
        <v>6221</v>
      </c>
      <c r="C25" s="166" t="s">
        <v>341</v>
      </c>
      <c r="D25" s="145">
        <f>'Estim. Gastos'!$F$32</f>
        <v>600</v>
      </c>
      <c r="E25" s="145"/>
      <c r="F25" s="145">
        <f t="shared" si="6"/>
        <v>600</v>
      </c>
      <c r="G25" s="145">
        <f t="shared" si="7"/>
        <v>600</v>
      </c>
      <c r="H25" s="145">
        <f>G25*(1+'Hipóteses xerais (2)'!$C$42)</f>
        <v>619.20000000000005</v>
      </c>
      <c r="I25" s="145">
        <f>H25*(1+'Hipóteses xerais (2)'!$C$42)</f>
        <v>639.01440000000002</v>
      </c>
      <c r="J25" s="145">
        <f>I25*(1+'Hipóteses xerais (2)'!$C$42)</f>
        <v>659.46286080000004</v>
      </c>
      <c r="K25" s="145">
        <f>J25*(1+'Hipóteses xerais (2)'!$C$42)</f>
        <v>680.56567234560009</v>
      </c>
      <c r="L25" s="145">
        <f>K25*(1+'Hipóteses xerais (2)'!$C$42)</f>
        <v>702.34377386065933</v>
      </c>
      <c r="M25" s="145">
        <f>L25*(1+'Hipóteses xerais (2)'!$C$42)</f>
        <v>724.8187746242005</v>
      </c>
      <c r="N25" s="145">
        <f>M25*(1+'Hipóteses xerais (2)'!$C$42)</f>
        <v>748.01297541217491</v>
      </c>
      <c r="O25" s="145">
        <f>N25*(1+'Hipóteses xerais (2)'!$C$42)</f>
        <v>771.94939062536457</v>
      </c>
      <c r="P25" s="145">
        <f>O25*(1+'Hipóteses xerais (2)'!$C$42)</f>
        <v>796.65177112537629</v>
      </c>
      <c r="Q25" s="145">
        <f>P25*(1+'Hipóteses xerais (2)'!$C$42)</f>
        <v>822.14462780138831</v>
      </c>
      <c r="R25" s="145">
        <f>Q25*(1+'Hipóteses xerais (2)'!$C$42)</f>
        <v>848.45325589103277</v>
      </c>
      <c r="S25" s="145">
        <f>R25*(1+'Hipóteses xerais (2)'!$C$42)</f>
        <v>875.60376007954585</v>
      </c>
      <c r="T25" s="145">
        <f>S25*(1+'Hipóteses xerais (2)'!$C$42)</f>
        <v>903.62308040209132</v>
      </c>
      <c r="U25" s="145">
        <f>T25*(1+'Hipóteses xerais (2)'!$C$42)</f>
        <v>932.53901897495825</v>
      </c>
      <c r="V25" s="145">
        <f>U25*(1+'Hipóteses xerais (2)'!$C$42)</f>
        <v>962.38026758215699</v>
      </c>
      <c r="W25" s="145">
        <f>V25*(1+'Hipóteses xerais (2)'!$C$42)</f>
        <v>993.17643614478607</v>
      </c>
      <c r="X25" s="145">
        <f>W25*(1+'Hipóteses xerais (2)'!$C$42)</f>
        <v>1024.9580821014192</v>
      </c>
      <c r="Y25" s="145">
        <f>X25*(1+'Hipóteses xerais (2)'!$C$42)</f>
        <v>1057.7567407286647</v>
      </c>
      <c r="Z25" s="145">
        <f>Y25*(1+'Hipóteses xerais (2)'!$C$42)</f>
        <v>1091.6049564319819</v>
      </c>
      <c r="AA25" s="145">
        <f>Z25*(1+'Hipóteses xerais (2)'!$C$42)</f>
        <v>1126.5363150378055</v>
      </c>
      <c r="AB25" s="145">
        <f>AA25*(1+'Hipóteses xerais (2)'!$C$42)</f>
        <v>1162.5854771190152</v>
      </c>
      <c r="AC25" s="145">
        <f>AB25*(1+'Hipóteses xerais (2)'!$C$42)</f>
        <v>1199.7882123868237</v>
      </c>
      <c r="AD25" s="145">
        <f>AC25*(1+'Hipóteses xerais (2)'!$C$42)</f>
        <v>1238.1814351832022</v>
      </c>
      <c r="AE25" s="671">
        <f t="shared" si="3"/>
        <v>21781.351284658245</v>
      </c>
    </row>
    <row r="26" spans="2:31" s="10" customFormat="1" x14ac:dyDescent="0.3">
      <c r="B26" s="10">
        <v>623</v>
      </c>
      <c r="C26" s="729" t="s">
        <v>902</v>
      </c>
      <c r="D26" s="644">
        <f>'Estim. Gastos'!$F$35</f>
        <v>0</v>
      </c>
      <c r="E26" s="644"/>
      <c r="F26" s="644">
        <f t="shared" si="6"/>
        <v>0</v>
      </c>
      <c r="G26" s="644">
        <f t="shared" si="7"/>
        <v>0</v>
      </c>
      <c r="H26" s="644">
        <f>G26*(1+'Hipóteses xerais (2)'!$C$42)</f>
        <v>0</v>
      </c>
      <c r="I26" s="644">
        <f>H26*(1+'Hipóteses xerais (2)'!$C$42)</f>
        <v>0</v>
      </c>
      <c r="J26" s="644">
        <f>I26*(1+'Hipóteses xerais (2)'!$C$42)</f>
        <v>0</v>
      </c>
      <c r="K26" s="644">
        <f>J26*(1+'Hipóteses xerais (2)'!$C$42)</f>
        <v>0</v>
      </c>
      <c r="L26" s="644">
        <f>K26*(1+'Hipóteses xerais (2)'!$C$42)</f>
        <v>0</v>
      </c>
      <c r="M26" s="644">
        <f>L26*(1+'Hipóteses xerais (2)'!$C$42)</f>
        <v>0</v>
      </c>
      <c r="N26" s="644">
        <f>M26*(1+'Hipóteses xerais (2)'!$C$42)</f>
        <v>0</v>
      </c>
      <c r="O26" s="644">
        <f>N26*(1+'Hipóteses xerais (2)'!$C$42)</f>
        <v>0</v>
      </c>
      <c r="P26" s="644">
        <f>O26*(1+'Hipóteses xerais (2)'!$C$42)</f>
        <v>0</v>
      </c>
      <c r="Q26" s="644">
        <f>P26*(1+'Hipóteses xerais (2)'!$C$42)</f>
        <v>0</v>
      </c>
      <c r="R26" s="644">
        <f>Q26*(1+'Hipóteses xerais (2)'!$C$42)</f>
        <v>0</v>
      </c>
      <c r="S26" s="644">
        <f>R26*(1+'Hipóteses xerais (2)'!$C$42)</f>
        <v>0</v>
      </c>
      <c r="T26" s="644">
        <f>S26*(1+'Hipóteses xerais (2)'!$C$42)</f>
        <v>0</v>
      </c>
      <c r="U26" s="644">
        <f>T26*(1+'Hipóteses xerais (2)'!$C$42)</f>
        <v>0</v>
      </c>
      <c r="V26" s="644">
        <f>U26*(1+'Hipóteses xerais (2)'!$C$42)</f>
        <v>0</v>
      </c>
      <c r="W26" s="644">
        <f>V26*(1+'Hipóteses xerais (2)'!$C$42)</f>
        <v>0</v>
      </c>
      <c r="X26" s="644">
        <f>W26*(1+'Hipóteses xerais (2)'!$C$42)</f>
        <v>0</v>
      </c>
      <c r="Y26" s="644">
        <f>X26*(1+'Hipóteses xerais (2)'!$C$42)</f>
        <v>0</v>
      </c>
      <c r="Z26" s="644">
        <f>Y26*(1+'Hipóteses xerais (2)'!$C$42)</f>
        <v>0</v>
      </c>
      <c r="AA26" s="644">
        <f>Z26*(1+'Hipóteses xerais (2)'!$C$42)</f>
        <v>0</v>
      </c>
      <c r="AB26" s="644">
        <f>AA26*(1+'Hipóteses xerais (2)'!$C$42)</f>
        <v>0</v>
      </c>
      <c r="AC26" s="644">
        <f>AB26*(1+'Hipóteses xerais (2)'!$C$42)</f>
        <v>0</v>
      </c>
      <c r="AD26" s="644">
        <f>AC26*(1+'Hipóteses xerais (2)'!$C$42)</f>
        <v>0</v>
      </c>
      <c r="AE26" s="728">
        <f t="shared" si="3"/>
        <v>0</v>
      </c>
    </row>
    <row r="27" spans="2:31" x14ac:dyDescent="0.3">
      <c r="B27">
        <v>624</v>
      </c>
      <c r="C27" s="166" t="s">
        <v>392</v>
      </c>
      <c r="D27" s="145">
        <f>'Estim. Gastos'!$F$40</f>
        <v>0</v>
      </c>
      <c r="E27" s="145"/>
      <c r="F27" s="145">
        <f t="shared" si="6"/>
        <v>0</v>
      </c>
      <c r="G27" s="145">
        <f t="shared" si="7"/>
        <v>0</v>
      </c>
      <c r="H27" s="145">
        <f>G27*(1+'Hipóteses xerais (2)'!$C$42)</f>
        <v>0</v>
      </c>
      <c r="I27" s="145">
        <f>H27*(1+'Hipóteses xerais (2)'!$C$42)</f>
        <v>0</v>
      </c>
      <c r="J27" s="145">
        <f>I27*(1+'Hipóteses xerais (2)'!$C$42)</f>
        <v>0</v>
      </c>
      <c r="K27" s="145">
        <f>J27*(1+'Hipóteses xerais (2)'!$C$42)</f>
        <v>0</v>
      </c>
      <c r="L27" s="145">
        <f>K27*(1+'Hipóteses xerais (2)'!$C$42)</f>
        <v>0</v>
      </c>
      <c r="M27" s="145">
        <f>L27*(1+'Hipóteses xerais (2)'!$C$42)</f>
        <v>0</v>
      </c>
      <c r="N27" s="145">
        <f>M27*(1+'Hipóteses xerais (2)'!$C$42)</f>
        <v>0</v>
      </c>
      <c r="O27" s="145">
        <f>N27*(1+'Hipóteses xerais (2)'!$C$42)</f>
        <v>0</v>
      </c>
      <c r="P27" s="145">
        <f>O27*(1+'Hipóteses xerais (2)'!$C$42)</f>
        <v>0</v>
      </c>
      <c r="Q27" s="145">
        <f>P27*(1+'Hipóteses xerais (2)'!$C$42)</f>
        <v>0</v>
      </c>
      <c r="R27" s="145">
        <f>Q27*(1+'Hipóteses xerais (2)'!$C$42)</f>
        <v>0</v>
      </c>
      <c r="S27" s="145">
        <f>R27*(1+'Hipóteses xerais (2)'!$C$42)</f>
        <v>0</v>
      </c>
      <c r="T27" s="145">
        <f>S27*(1+'Hipóteses xerais (2)'!$C$42)</f>
        <v>0</v>
      </c>
      <c r="U27" s="145">
        <f>T27*(1+'Hipóteses xerais (2)'!$C$42)</f>
        <v>0</v>
      </c>
      <c r="V27" s="145">
        <f>U27*(1+'Hipóteses xerais (2)'!$C$42)</f>
        <v>0</v>
      </c>
      <c r="W27" s="145">
        <f>V27*(1+'Hipóteses xerais (2)'!$C$42)</f>
        <v>0</v>
      </c>
      <c r="X27" s="145">
        <f>W27*(1+'Hipóteses xerais (2)'!$C$42)</f>
        <v>0</v>
      </c>
      <c r="Y27" s="145">
        <f>X27*(1+'Hipóteses xerais (2)'!$C$42)</f>
        <v>0</v>
      </c>
      <c r="Z27" s="145">
        <f>Y27*(1+'Hipóteses xerais (2)'!$C$42)</f>
        <v>0</v>
      </c>
      <c r="AA27" s="145">
        <f>Z27*(1+'Hipóteses xerais (2)'!$C$42)</f>
        <v>0</v>
      </c>
      <c r="AB27" s="145">
        <f>AA27*(1+'Hipóteses xerais (2)'!$C$42)</f>
        <v>0</v>
      </c>
      <c r="AC27" s="145">
        <f>AB27*(1+'Hipóteses xerais (2)'!$C$42)</f>
        <v>0</v>
      </c>
      <c r="AD27" s="145">
        <f>AC27*(1+'Hipóteses xerais (2)'!$C$42)</f>
        <v>0</v>
      </c>
      <c r="AE27" s="671">
        <f t="shared" si="3"/>
        <v>0</v>
      </c>
    </row>
    <row r="28" spans="2:31" x14ac:dyDescent="0.3">
      <c r="B28">
        <v>625</v>
      </c>
      <c r="C28" s="166" t="s">
        <v>901</v>
      </c>
      <c r="D28" s="145">
        <f>'Estim. Gastos'!$F$41</f>
        <v>1400</v>
      </c>
      <c r="E28" s="145"/>
      <c r="F28" s="145">
        <f t="shared" si="6"/>
        <v>1400</v>
      </c>
      <c r="G28" s="145">
        <f t="shared" si="7"/>
        <v>1400</v>
      </c>
      <c r="H28" s="145">
        <f>G28*(1+'Hipóteses xerais (2)'!$C$42)</f>
        <v>1444.8</v>
      </c>
      <c r="I28" s="145">
        <f>H28*(1+'Hipóteses xerais (2)'!$C$42)</f>
        <v>1491.0336</v>
      </c>
      <c r="J28" s="145">
        <f>I28*(1+'Hipóteses xerais (2)'!$C$42)</f>
        <v>1538.7466752</v>
      </c>
      <c r="K28" s="145">
        <f>J28*(1+'Hipóteses xerais (2)'!$C$42)</f>
        <v>1587.9865688064001</v>
      </c>
      <c r="L28" s="145">
        <f>K28*(1+'Hipóteses xerais (2)'!$C$42)</f>
        <v>1638.8021390082049</v>
      </c>
      <c r="M28" s="145">
        <f>L28*(1+'Hipóteses xerais (2)'!$C$42)</f>
        <v>1691.2438074564675</v>
      </c>
      <c r="N28" s="145">
        <f>M28*(1+'Hipóteses xerais (2)'!$C$42)</f>
        <v>1745.3636092950744</v>
      </c>
      <c r="O28" s="145">
        <f>N28*(1+'Hipóteses xerais (2)'!$C$42)</f>
        <v>1801.2152447925168</v>
      </c>
      <c r="P28" s="145">
        <f>O28*(1+'Hipóteses xerais (2)'!$C$42)</f>
        <v>1858.8541326258774</v>
      </c>
      <c r="Q28" s="145">
        <f>P28*(1+'Hipóteses xerais (2)'!$C$42)</f>
        <v>1918.3374648699055</v>
      </c>
      <c r="R28" s="145">
        <f>Q28*(1+'Hipóteses xerais (2)'!$C$42)</f>
        <v>1979.7242637457425</v>
      </c>
      <c r="S28" s="145">
        <f>R28*(1+'Hipóteses xerais (2)'!$C$42)</f>
        <v>2043.0754401856063</v>
      </c>
      <c r="T28" s="145">
        <f>S28*(1+'Hipóteses xerais (2)'!$C$42)</f>
        <v>2108.4538542715459</v>
      </c>
      <c r="U28" s="145">
        <f>T28*(1+'Hipóteses xerais (2)'!$C$42)</f>
        <v>2175.9243776082353</v>
      </c>
      <c r="V28" s="145">
        <f>U28*(1+'Hipóteses xerais (2)'!$C$42)</f>
        <v>2245.553957691699</v>
      </c>
      <c r="W28" s="145">
        <f>V28*(1+'Hipóteses xerais (2)'!$C$42)</f>
        <v>2317.4116843378333</v>
      </c>
      <c r="X28" s="145">
        <f>W28*(1+'Hipóteses xerais (2)'!$C$42)</f>
        <v>2391.5688582366442</v>
      </c>
      <c r="Y28" s="145">
        <f>X28*(1+'Hipóteses xerais (2)'!$C$42)</f>
        <v>2468.0990617002171</v>
      </c>
      <c r="Z28" s="145">
        <f>Y28*(1+'Hipóteses xerais (2)'!$C$42)</f>
        <v>2547.078231674624</v>
      </c>
      <c r="AA28" s="145">
        <f>Z28*(1+'Hipóteses xerais (2)'!$C$42)</f>
        <v>2628.5847350882123</v>
      </c>
      <c r="AB28" s="145">
        <f>AA28*(1+'Hipóteses xerais (2)'!$C$42)</f>
        <v>2712.699446611035</v>
      </c>
      <c r="AC28" s="145">
        <f>AB28*(1+'Hipóteses xerais (2)'!$C$42)</f>
        <v>2799.5058289025883</v>
      </c>
      <c r="AD28" s="145">
        <f>AC28*(1+'Hipóteses xerais (2)'!$C$42)</f>
        <v>2889.0900154274714</v>
      </c>
      <c r="AE28" s="671">
        <f t="shared" si="3"/>
        <v>50823.152997535901</v>
      </c>
    </row>
    <row r="29" spans="2:31" x14ac:dyDescent="0.3">
      <c r="B29">
        <v>626</v>
      </c>
      <c r="C29" s="166" t="s">
        <v>900</v>
      </c>
      <c r="D29" s="145">
        <f>'Estim. Gastos'!$F$42</f>
        <v>240</v>
      </c>
      <c r="E29" s="145"/>
      <c r="F29" s="145">
        <f t="shared" si="6"/>
        <v>240</v>
      </c>
      <c r="G29" s="145">
        <f t="shared" si="7"/>
        <v>240</v>
      </c>
      <c r="H29" s="145">
        <f>G29*(1+'Hipóteses xerais (2)'!$C$42)</f>
        <v>247.68</v>
      </c>
      <c r="I29" s="145">
        <f>H29*(1+'Hipóteses xerais (2)'!$C$42)</f>
        <v>255.60576</v>
      </c>
      <c r="J29" s="145">
        <f>I29*(1+'Hipóteses xerais (2)'!$C$42)</f>
        <v>263.78514432000003</v>
      </c>
      <c r="K29" s="145">
        <f>J29*(1+'Hipóteses xerais (2)'!$C$42)</f>
        <v>272.22626893824003</v>
      </c>
      <c r="L29" s="145">
        <f>K29*(1+'Hipóteses xerais (2)'!$C$42)</f>
        <v>280.93750954426372</v>
      </c>
      <c r="M29" s="145">
        <f>L29*(1+'Hipóteses xerais (2)'!$C$42)</f>
        <v>289.92750984968018</v>
      </c>
      <c r="N29" s="145">
        <f>M29*(1+'Hipóteses xerais (2)'!$C$42)</f>
        <v>299.20519016486998</v>
      </c>
      <c r="O29" s="145">
        <f>N29*(1+'Hipóteses xerais (2)'!$C$42)</f>
        <v>308.77975625014585</v>
      </c>
      <c r="P29" s="145">
        <f>O29*(1+'Hipóteses xerais (2)'!$C$42)</f>
        <v>318.66070845015054</v>
      </c>
      <c r="Q29" s="145">
        <f>P29*(1+'Hipóteses xerais (2)'!$C$42)</f>
        <v>328.85785112055538</v>
      </c>
      <c r="R29" s="145">
        <f>Q29*(1+'Hipóteses xerais (2)'!$C$42)</f>
        <v>339.38130235641319</v>
      </c>
      <c r="S29" s="145">
        <f>R29*(1+'Hipóteses xerais (2)'!$C$42)</f>
        <v>350.24150403181841</v>
      </c>
      <c r="T29" s="145">
        <f>S29*(1+'Hipóteses xerais (2)'!$C$42)</f>
        <v>361.44923216083663</v>
      </c>
      <c r="U29" s="145">
        <f>T29*(1+'Hipóteses xerais (2)'!$C$42)</f>
        <v>373.0156075899834</v>
      </c>
      <c r="V29" s="145">
        <f>U29*(1+'Hipóteses xerais (2)'!$C$42)</f>
        <v>384.9521070328629</v>
      </c>
      <c r="W29" s="145">
        <f>V29*(1+'Hipóteses xerais (2)'!$C$42)</f>
        <v>397.27057445791451</v>
      </c>
      <c r="X29" s="145">
        <f>W29*(1+'Hipóteses xerais (2)'!$C$42)</f>
        <v>409.98323284056778</v>
      </c>
      <c r="Y29" s="145">
        <f>X29*(1+'Hipóteses xerais (2)'!$C$42)</f>
        <v>423.10269629146597</v>
      </c>
      <c r="Z29" s="145">
        <f>Y29*(1+'Hipóteses xerais (2)'!$C$42)</f>
        <v>436.64198257279287</v>
      </c>
      <c r="AA29" s="145">
        <f>Z29*(1+'Hipóteses xerais (2)'!$C$42)</f>
        <v>450.61452601512224</v>
      </c>
      <c r="AB29" s="145">
        <f>AA29*(1+'Hipóteses xerais (2)'!$C$42)</f>
        <v>465.03419084760617</v>
      </c>
      <c r="AC29" s="145">
        <f>AB29*(1+'Hipóteses xerais (2)'!$C$42)</f>
        <v>479.9152849547296</v>
      </c>
      <c r="AD29" s="145">
        <f>AC29*(1+'Hipóteses xerais (2)'!$C$42)</f>
        <v>495.27257407328096</v>
      </c>
      <c r="AE29" s="671">
        <f t="shared" si="3"/>
        <v>8712.5405138632996</v>
      </c>
    </row>
    <row r="30" spans="2:31" x14ac:dyDescent="0.3">
      <c r="B30">
        <v>627</v>
      </c>
      <c r="C30" s="166" t="s">
        <v>401</v>
      </c>
      <c r="D30" s="145">
        <f>'Estim. Gastos'!$F$43</f>
        <v>0</v>
      </c>
      <c r="E30" s="145"/>
      <c r="F30" s="145">
        <f t="shared" si="6"/>
        <v>0</v>
      </c>
      <c r="G30" s="145">
        <f t="shared" si="7"/>
        <v>0</v>
      </c>
      <c r="H30" s="145">
        <f>G30*(1+'Hipóteses xerais (2)'!$C$42)</f>
        <v>0</v>
      </c>
      <c r="I30" s="145">
        <f>H30*(1+'Hipóteses xerais (2)'!$C$42)</f>
        <v>0</v>
      </c>
      <c r="J30" s="145">
        <f>I30*(1+'Hipóteses xerais (2)'!$C$42)</f>
        <v>0</v>
      </c>
      <c r="K30" s="145">
        <f>J30*(1+'Hipóteses xerais (2)'!$C$42)</f>
        <v>0</v>
      </c>
      <c r="L30" s="145">
        <f>K30*(1+'Hipóteses xerais (2)'!$C$42)</f>
        <v>0</v>
      </c>
      <c r="M30" s="145">
        <f>L30*(1+'Hipóteses xerais (2)'!$C$42)</f>
        <v>0</v>
      </c>
      <c r="N30" s="145">
        <f>M30*(1+'Hipóteses xerais (2)'!$C$42)</f>
        <v>0</v>
      </c>
      <c r="O30" s="145">
        <f>N30*(1+'Hipóteses xerais (2)'!$C$42)</f>
        <v>0</v>
      </c>
      <c r="P30" s="145">
        <f>O30*(1+'Hipóteses xerais (2)'!$C$42)</f>
        <v>0</v>
      </c>
      <c r="Q30" s="145">
        <f>P30*(1+'Hipóteses xerais (2)'!$C$42)</f>
        <v>0</v>
      </c>
      <c r="R30" s="145">
        <f>Q30*(1+'Hipóteses xerais (2)'!$C$42)</f>
        <v>0</v>
      </c>
      <c r="S30" s="145">
        <f>R30*(1+'Hipóteses xerais (2)'!$C$42)</f>
        <v>0</v>
      </c>
      <c r="T30" s="145">
        <f>S30*(1+'Hipóteses xerais (2)'!$C$42)</f>
        <v>0</v>
      </c>
      <c r="U30" s="145">
        <f>T30*(1+'Hipóteses xerais (2)'!$C$42)</f>
        <v>0</v>
      </c>
      <c r="V30" s="145">
        <f>U30*(1+'Hipóteses xerais (2)'!$C$42)</f>
        <v>0</v>
      </c>
      <c r="W30" s="145">
        <f>V30*(1+'Hipóteses xerais (2)'!$C$42)</f>
        <v>0</v>
      </c>
      <c r="X30" s="145">
        <f>W30*(1+'Hipóteses xerais (2)'!$C$42)</f>
        <v>0</v>
      </c>
      <c r="Y30" s="145">
        <f>X30*(1+'Hipóteses xerais (2)'!$C$42)</f>
        <v>0</v>
      </c>
      <c r="Z30" s="145">
        <f>Y30*(1+'Hipóteses xerais (2)'!$C$42)</f>
        <v>0</v>
      </c>
      <c r="AA30" s="145">
        <f>Z30*(1+'Hipóteses xerais (2)'!$C$42)</f>
        <v>0</v>
      </c>
      <c r="AB30" s="145">
        <f>AA30*(1+'Hipóteses xerais (2)'!$C$42)</f>
        <v>0</v>
      </c>
      <c r="AC30" s="145">
        <f>AB30*(1+'Hipóteses xerais (2)'!$C$42)</f>
        <v>0</v>
      </c>
      <c r="AD30" s="145">
        <f>AC30*(1+'Hipóteses xerais (2)'!$C$42)</f>
        <v>0</v>
      </c>
      <c r="AE30" s="671">
        <f t="shared" si="3"/>
        <v>0</v>
      </c>
    </row>
    <row r="31" spans="2:31" x14ac:dyDescent="0.3">
      <c r="B31">
        <v>628</v>
      </c>
      <c r="C31" s="166" t="s">
        <v>413</v>
      </c>
      <c r="D31" s="145" t="e">
        <f>'Estim. Gastos'!$F$47</f>
        <v>#N/A</v>
      </c>
      <c r="E31" s="145"/>
      <c r="F31" s="145" t="e">
        <f t="shared" si="6"/>
        <v>#N/A</v>
      </c>
      <c r="G31" s="145" t="e">
        <f t="shared" si="7"/>
        <v>#N/A</v>
      </c>
      <c r="H31" s="145" t="e">
        <f>G31*(1+'Hipóteses xerais (2)'!$C$42)</f>
        <v>#N/A</v>
      </c>
      <c r="I31" s="145" t="e">
        <f>H31*(1+'Hipóteses xerais (2)'!$C$42)</f>
        <v>#N/A</v>
      </c>
      <c r="J31" s="145" t="e">
        <f>I31*(1+'Hipóteses xerais (2)'!$C$42)</f>
        <v>#N/A</v>
      </c>
      <c r="K31" s="145" t="e">
        <f>J31*(1+'Hipóteses xerais (2)'!$C$42)</f>
        <v>#N/A</v>
      </c>
      <c r="L31" s="145" t="e">
        <f>K31*(1+'Hipóteses xerais (2)'!$C$42)</f>
        <v>#N/A</v>
      </c>
      <c r="M31" s="145" t="e">
        <f>L31*(1+'Hipóteses xerais (2)'!$C$42)</f>
        <v>#N/A</v>
      </c>
      <c r="N31" s="145" t="e">
        <f>M31*(1+'Hipóteses xerais (2)'!$C$42)</f>
        <v>#N/A</v>
      </c>
      <c r="O31" s="145" t="e">
        <f>N31*(1+'Hipóteses xerais (2)'!$C$42)</f>
        <v>#N/A</v>
      </c>
      <c r="P31" s="145" t="e">
        <f>O31*(1+'Hipóteses xerais (2)'!$C$42)</f>
        <v>#N/A</v>
      </c>
      <c r="Q31" s="145" t="e">
        <f>P31*(1+'Hipóteses xerais (2)'!$C$42)</f>
        <v>#N/A</v>
      </c>
      <c r="R31" s="145" t="e">
        <f>Q31*(1+'Hipóteses xerais (2)'!$C$42)</f>
        <v>#N/A</v>
      </c>
      <c r="S31" s="145" t="e">
        <f>R31*(1+'Hipóteses xerais (2)'!$C$42)</f>
        <v>#N/A</v>
      </c>
      <c r="T31" s="145" t="e">
        <f>S31*(1+'Hipóteses xerais (2)'!$C$42)</f>
        <v>#N/A</v>
      </c>
      <c r="U31" s="145" t="e">
        <f>T31*(1+'Hipóteses xerais (2)'!$C$42)</f>
        <v>#N/A</v>
      </c>
      <c r="V31" s="145" t="e">
        <f>U31*(1+'Hipóteses xerais (2)'!$C$42)</f>
        <v>#N/A</v>
      </c>
      <c r="W31" s="145" t="e">
        <f>V31*(1+'Hipóteses xerais (2)'!$C$42)</f>
        <v>#N/A</v>
      </c>
      <c r="X31" s="145" t="e">
        <f>W31*(1+'Hipóteses xerais (2)'!$C$42)</f>
        <v>#N/A</v>
      </c>
      <c r="Y31" s="145" t="e">
        <f>X31*(1+'Hipóteses xerais (2)'!$C$42)</f>
        <v>#N/A</v>
      </c>
      <c r="Z31" s="145" t="e">
        <f>Y31*(1+'Hipóteses xerais (2)'!$C$42)</f>
        <v>#N/A</v>
      </c>
      <c r="AA31" s="145" t="e">
        <f>Z31*(1+'Hipóteses xerais (2)'!$C$42)</f>
        <v>#N/A</v>
      </c>
      <c r="AB31" s="145" t="e">
        <f>AA31*(1+'Hipóteses xerais (2)'!$C$42)</f>
        <v>#N/A</v>
      </c>
      <c r="AC31" s="145" t="e">
        <f>AB31*(1+'Hipóteses xerais (2)'!$C$42)</f>
        <v>#N/A</v>
      </c>
      <c r="AD31" s="145" t="e">
        <f>AC31*(1+'Hipóteses xerais (2)'!$C$42)</f>
        <v>#N/A</v>
      </c>
      <c r="AE31" s="671" t="e">
        <f t="shared" si="3"/>
        <v>#N/A</v>
      </c>
    </row>
    <row r="32" spans="2:31" x14ac:dyDescent="0.3">
      <c r="B32">
        <v>629</v>
      </c>
      <c r="C32" s="166" t="s">
        <v>899</v>
      </c>
      <c r="D32" s="145" t="e">
        <f>'Estim. Gastos'!$F$53</f>
        <v>#N/A</v>
      </c>
      <c r="F32" s="145" t="e">
        <f t="shared" si="6"/>
        <v>#N/A</v>
      </c>
      <c r="G32" s="145" t="e">
        <f t="shared" si="7"/>
        <v>#N/A</v>
      </c>
      <c r="H32" s="145" t="e">
        <f>G32*(1+'Hipóteses xerais (2)'!$C$42)</f>
        <v>#N/A</v>
      </c>
      <c r="I32" s="145" t="e">
        <f>H32*(1+'Hipóteses xerais (2)'!$C$42)</f>
        <v>#N/A</v>
      </c>
      <c r="J32" s="145" t="e">
        <f>I32*(1+'Hipóteses xerais (2)'!$C$42)</f>
        <v>#N/A</v>
      </c>
      <c r="K32" s="145" t="e">
        <f>J32*(1+'Hipóteses xerais (2)'!$C$42)</f>
        <v>#N/A</v>
      </c>
      <c r="L32" s="145" t="e">
        <f>K32*(1+'Hipóteses xerais (2)'!$C$42)</f>
        <v>#N/A</v>
      </c>
      <c r="M32" s="145" t="e">
        <f>L32*(1+'Hipóteses xerais (2)'!$C$42)</f>
        <v>#N/A</v>
      </c>
      <c r="N32" s="145" t="e">
        <f>M32*(1+'Hipóteses xerais (2)'!$C$42)</f>
        <v>#N/A</v>
      </c>
      <c r="O32" s="145" t="e">
        <f>N32*(1+'Hipóteses xerais (2)'!$C$42)</f>
        <v>#N/A</v>
      </c>
      <c r="P32" s="145" t="e">
        <f>O32*(1+'Hipóteses xerais (2)'!$C$42)</f>
        <v>#N/A</v>
      </c>
      <c r="Q32" s="145" t="e">
        <f>P32*(1+'Hipóteses xerais (2)'!$C$42)</f>
        <v>#N/A</v>
      </c>
      <c r="R32" s="145" t="e">
        <f>Q32*(1+'Hipóteses xerais (2)'!$C$42)</f>
        <v>#N/A</v>
      </c>
      <c r="S32" s="145" t="e">
        <f>R32*(1+'Hipóteses xerais (2)'!$C$42)</f>
        <v>#N/A</v>
      </c>
      <c r="T32" s="145" t="e">
        <f>S32*(1+'Hipóteses xerais (2)'!$C$42)</f>
        <v>#N/A</v>
      </c>
      <c r="U32" s="145" t="e">
        <f>T32*(1+'Hipóteses xerais (2)'!$C$42)</f>
        <v>#N/A</v>
      </c>
      <c r="V32" s="145" t="e">
        <f>U32*(1+'Hipóteses xerais (2)'!$C$42)</f>
        <v>#N/A</v>
      </c>
      <c r="W32" s="145" t="e">
        <f>V32*(1+'Hipóteses xerais (2)'!$C$42)</f>
        <v>#N/A</v>
      </c>
      <c r="X32" s="145" t="e">
        <f>W32*(1+'Hipóteses xerais (2)'!$C$42)</f>
        <v>#N/A</v>
      </c>
      <c r="Y32" s="145" t="e">
        <f>X32*(1+'Hipóteses xerais (2)'!$C$42)</f>
        <v>#N/A</v>
      </c>
      <c r="Z32" s="145" t="e">
        <f>Y32*(1+'Hipóteses xerais (2)'!$C$42)</f>
        <v>#N/A</v>
      </c>
      <c r="AA32" s="145" t="e">
        <f>Z32*(1+'Hipóteses xerais (2)'!$C$42)</f>
        <v>#N/A</v>
      </c>
      <c r="AB32" s="145" t="e">
        <f>AA32*(1+'Hipóteses xerais (2)'!$C$42)</f>
        <v>#N/A</v>
      </c>
      <c r="AC32" s="145" t="e">
        <f>AB32*(1+'Hipóteses xerais (2)'!$C$42)</f>
        <v>#N/A</v>
      </c>
      <c r="AD32" s="145" t="e">
        <f>AC32*(1+'Hipóteses xerais (2)'!$C$42)</f>
        <v>#N/A</v>
      </c>
      <c r="AE32" s="671" t="e">
        <f t="shared" si="3"/>
        <v>#N/A</v>
      </c>
    </row>
    <row r="33" spans="1:31" s="13" customFormat="1" x14ac:dyDescent="0.3">
      <c r="B33" s="13">
        <v>62</v>
      </c>
      <c r="C33" s="714" t="s">
        <v>898</v>
      </c>
      <c r="D33" s="174" t="e">
        <f t="shared" ref="D33:AD33" si="8">SUM(D24:D32)</f>
        <v>#N/A</v>
      </c>
      <c r="E33" s="174">
        <f t="shared" si="8"/>
        <v>0</v>
      </c>
      <c r="F33" s="174" t="e">
        <f t="shared" si="8"/>
        <v>#N/A</v>
      </c>
      <c r="G33" s="174" t="e">
        <f t="shared" si="8"/>
        <v>#N/A</v>
      </c>
      <c r="H33" s="174" t="e">
        <f t="shared" si="8"/>
        <v>#N/A</v>
      </c>
      <c r="I33" s="174" t="e">
        <f t="shared" si="8"/>
        <v>#N/A</v>
      </c>
      <c r="J33" s="174" t="e">
        <f t="shared" si="8"/>
        <v>#N/A</v>
      </c>
      <c r="K33" s="174" t="e">
        <f t="shared" si="8"/>
        <v>#N/A</v>
      </c>
      <c r="L33" s="174" t="e">
        <f t="shared" si="8"/>
        <v>#N/A</v>
      </c>
      <c r="M33" s="174" t="e">
        <f t="shared" si="8"/>
        <v>#N/A</v>
      </c>
      <c r="N33" s="174" t="e">
        <f t="shared" si="8"/>
        <v>#N/A</v>
      </c>
      <c r="O33" s="174" t="e">
        <f t="shared" si="8"/>
        <v>#N/A</v>
      </c>
      <c r="P33" s="174" t="e">
        <f t="shared" si="8"/>
        <v>#N/A</v>
      </c>
      <c r="Q33" s="174" t="e">
        <f t="shared" si="8"/>
        <v>#N/A</v>
      </c>
      <c r="R33" s="174" t="e">
        <f t="shared" si="8"/>
        <v>#N/A</v>
      </c>
      <c r="S33" s="174" t="e">
        <f t="shared" si="8"/>
        <v>#N/A</v>
      </c>
      <c r="T33" s="174" t="e">
        <f t="shared" si="8"/>
        <v>#N/A</v>
      </c>
      <c r="U33" s="174" t="e">
        <f t="shared" si="8"/>
        <v>#N/A</v>
      </c>
      <c r="V33" s="174" t="e">
        <f t="shared" si="8"/>
        <v>#N/A</v>
      </c>
      <c r="W33" s="174" t="e">
        <f t="shared" si="8"/>
        <v>#N/A</v>
      </c>
      <c r="X33" s="174" t="e">
        <f t="shared" si="8"/>
        <v>#N/A</v>
      </c>
      <c r="Y33" s="174" t="e">
        <f t="shared" si="8"/>
        <v>#N/A</v>
      </c>
      <c r="Z33" s="174" t="e">
        <f t="shared" si="8"/>
        <v>#N/A</v>
      </c>
      <c r="AA33" s="174" t="e">
        <f t="shared" si="8"/>
        <v>#N/A</v>
      </c>
      <c r="AB33" s="174" t="e">
        <f t="shared" si="8"/>
        <v>#N/A</v>
      </c>
      <c r="AC33" s="174" t="e">
        <f t="shared" si="8"/>
        <v>#N/A</v>
      </c>
      <c r="AD33" s="174" t="e">
        <f t="shared" si="8"/>
        <v>#N/A</v>
      </c>
      <c r="AE33" s="722" t="e">
        <f t="shared" si="3"/>
        <v>#N/A</v>
      </c>
    </row>
    <row r="34" spans="1:31" hidden="1" x14ac:dyDescent="0.3">
      <c r="C34" s="727"/>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671">
        <f t="shared" si="3"/>
        <v>0</v>
      </c>
    </row>
    <row r="35" spans="1:31" hidden="1" x14ac:dyDescent="0.3">
      <c r="C35" s="714" t="s">
        <v>897</v>
      </c>
      <c r="D35" s="145">
        <f>D34</f>
        <v>0</v>
      </c>
      <c r="E35" s="145">
        <f>SUM(E34)</f>
        <v>0</v>
      </c>
      <c r="F35" s="145" t="e">
        <f>#REF!</f>
        <v>#REF!</v>
      </c>
      <c r="G35" s="145" t="e">
        <f>F35</f>
        <v>#REF!</v>
      </c>
      <c r="H35" s="145">
        <f t="shared" ref="H35:AD35" si="9">H34</f>
        <v>0</v>
      </c>
      <c r="I35" s="145">
        <f t="shared" si="9"/>
        <v>0</v>
      </c>
      <c r="J35" s="145">
        <f t="shared" si="9"/>
        <v>0</v>
      </c>
      <c r="K35" s="145">
        <f t="shared" si="9"/>
        <v>0</v>
      </c>
      <c r="L35" s="145">
        <f t="shared" si="9"/>
        <v>0</v>
      </c>
      <c r="M35" s="145">
        <f t="shared" si="9"/>
        <v>0</v>
      </c>
      <c r="N35" s="145">
        <f t="shared" si="9"/>
        <v>0</v>
      </c>
      <c r="O35" s="145">
        <f t="shared" si="9"/>
        <v>0</v>
      </c>
      <c r="P35" s="145">
        <f t="shared" si="9"/>
        <v>0</v>
      </c>
      <c r="Q35" s="145">
        <f t="shared" si="9"/>
        <v>0</v>
      </c>
      <c r="R35" s="145">
        <f t="shared" si="9"/>
        <v>0</v>
      </c>
      <c r="S35" s="145">
        <f t="shared" si="9"/>
        <v>0</v>
      </c>
      <c r="T35" s="145">
        <f t="shared" si="9"/>
        <v>0</v>
      </c>
      <c r="U35" s="145">
        <f t="shared" si="9"/>
        <v>0</v>
      </c>
      <c r="V35" s="145">
        <f t="shared" si="9"/>
        <v>0</v>
      </c>
      <c r="W35" s="145">
        <f t="shared" si="9"/>
        <v>0</v>
      </c>
      <c r="X35" s="145">
        <f t="shared" si="9"/>
        <v>0</v>
      </c>
      <c r="Y35" s="145">
        <f t="shared" si="9"/>
        <v>0</v>
      </c>
      <c r="Z35" s="145">
        <f t="shared" si="9"/>
        <v>0</v>
      </c>
      <c r="AA35" s="145">
        <f t="shared" si="9"/>
        <v>0</v>
      </c>
      <c r="AB35" s="145">
        <f t="shared" si="9"/>
        <v>0</v>
      </c>
      <c r="AC35" s="145">
        <f t="shared" si="9"/>
        <v>0</v>
      </c>
      <c r="AD35" s="145">
        <f t="shared" si="9"/>
        <v>0</v>
      </c>
      <c r="AE35" s="671" t="e">
        <f t="shared" si="3"/>
        <v>#REF!</v>
      </c>
    </row>
    <row r="36" spans="1:31" hidden="1" x14ac:dyDescent="0.3">
      <c r="C36" s="166"/>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671">
        <f t="shared" si="3"/>
        <v>0</v>
      </c>
    </row>
    <row r="37" spans="1:31" s="723" customFormat="1" hidden="1" x14ac:dyDescent="0.3">
      <c r="C37" s="726" t="s">
        <v>896</v>
      </c>
      <c r="D37" s="725">
        <f>SUM(D36)</f>
        <v>0</v>
      </c>
      <c r="E37" s="725">
        <f>SUM(E36)</f>
        <v>0</v>
      </c>
      <c r="F37" s="725">
        <f>SUM(F36)</f>
        <v>0</v>
      </c>
      <c r="G37" s="725">
        <f>SUM(G36)</f>
        <v>0</v>
      </c>
      <c r="H37" s="145">
        <f t="shared" ref="H37:AD37" si="10">H36</f>
        <v>0</v>
      </c>
      <c r="I37" s="145">
        <f t="shared" si="10"/>
        <v>0</v>
      </c>
      <c r="J37" s="145">
        <f t="shared" si="10"/>
        <v>0</v>
      </c>
      <c r="K37" s="145">
        <f t="shared" si="10"/>
        <v>0</v>
      </c>
      <c r="L37" s="145">
        <f t="shared" si="10"/>
        <v>0</v>
      </c>
      <c r="M37" s="145">
        <f t="shared" si="10"/>
        <v>0</v>
      </c>
      <c r="N37" s="145">
        <f t="shared" si="10"/>
        <v>0</v>
      </c>
      <c r="O37" s="145">
        <f t="shared" si="10"/>
        <v>0</v>
      </c>
      <c r="P37" s="145">
        <f t="shared" si="10"/>
        <v>0</v>
      </c>
      <c r="Q37" s="145">
        <f t="shared" si="10"/>
        <v>0</v>
      </c>
      <c r="R37" s="145">
        <f t="shared" si="10"/>
        <v>0</v>
      </c>
      <c r="S37" s="145">
        <f t="shared" si="10"/>
        <v>0</v>
      </c>
      <c r="T37" s="145">
        <f t="shared" si="10"/>
        <v>0</v>
      </c>
      <c r="U37" s="145">
        <f t="shared" si="10"/>
        <v>0</v>
      </c>
      <c r="V37" s="145">
        <f t="shared" si="10"/>
        <v>0</v>
      </c>
      <c r="W37" s="145">
        <f t="shared" si="10"/>
        <v>0</v>
      </c>
      <c r="X37" s="145">
        <f t="shared" si="10"/>
        <v>0</v>
      </c>
      <c r="Y37" s="145">
        <f t="shared" si="10"/>
        <v>0</v>
      </c>
      <c r="Z37" s="145">
        <f t="shared" si="10"/>
        <v>0</v>
      </c>
      <c r="AA37" s="145">
        <f t="shared" si="10"/>
        <v>0</v>
      </c>
      <c r="AB37" s="145">
        <f t="shared" si="10"/>
        <v>0</v>
      </c>
      <c r="AC37" s="145">
        <f t="shared" si="10"/>
        <v>0</v>
      </c>
      <c r="AD37" s="145">
        <f t="shared" si="10"/>
        <v>0</v>
      </c>
      <c r="AE37" s="724">
        <f t="shared" si="3"/>
        <v>0</v>
      </c>
    </row>
    <row r="38" spans="1:31" x14ac:dyDescent="0.3">
      <c r="B38">
        <v>631</v>
      </c>
      <c r="C38" s="166" t="s">
        <v>895</v>
      </c>
      <c r="D38" s="145" t="e">
        <f>'Estim. Gastos'!$H$72</f>
        <v>#N/A</v>
      </c>
      <c r="F38" s="145" t="e">
        <f>D38</f>
        <v>#N/A</v>
      </c>
      <c r="AE38" s="671" t="e">
        <f t="shared" si="3"/>
        <v>#N/A</v>
      </c>
    </row>
    <row r="39" spans="1:31" x14ac:dyDescent="0.3">
      <c r="B39">
        <v>659</v>
      </c>
      <c r="C39" s="166" t="s">
        <v>565</v>
      </c>
      <c r="D39" s="145">
        <f>'Estim. Gastos'!$F$75</f>
        <v>50</v>
      </c>
      <c r="F39" s="145">
        <f>D39</f>
        <v>50</v>
      </c>
      <c r="G39" s="145">
        <f>F39</f>
        <v>50</v>
      </c>
      <c r="H39" s="145">
        <f>G39*(1+'Hipóteses xerais (2)'!$C$42)</f>
        <v>51.6</v>
      </c>
      <c r="I39" s="145">
        <f>H39*(1+'Hipóteses xerais (2)'!$C$42)</f>
        <v>53.251200000000004</v>
      </c>
      <c r="J39" s="145">
        <f>I39*(1+'Hipóteses xerais (2)'!$C$42)</f>
        <v>54.955238400000006</v>
      </c>
      <c r="K39" s="145">
        <f>J39*(1+'Hipóteses xerais (2)'!$C$42)</f>
        <v>56.713806028800008</v>
      </c>
      <c r="L39" s="145">
        <f>K39*(1+'Hipóteses xerais (2)'!$C$42)</f>
        <v>58.528647821721613</v>
      </c>
      <c r="M39" s="145">
        <f>L39*(1+'Hipóteses xerais (2)'!$C$42)</f>
        <v>60.401564552016708</v>
      </c>
      <c r="N39" s="145">
        <f>M39*(1+'Hipóteses xerais (2)'!$C$42)</f>
        <v>62.334414617681247</v>
      </c>
      <c r="O39" s="145">
        <f>N39*(1+'Hipóteses xerais (2)'!$C$42)</f>
        <v>64.329115885447052</v>
      </c>
      <c r="P39" s="145">
        <f>O39*(1+'Hipóteses xerais (2)'!$C$42)</f>
        <v>66.387647593781367</v>
      </c>
      <c r="Q39" s="145">
        <f>P39*(1+'Hipóteses xerais (2)'!$C$42)</f>
        <v>68.512052316782373</v>
      </c>
      <c r="R39" s="145">
        <f>Q39*(1+'Hipóteses xerais (2)'!$C$42)</f>
        <v>70.704437990919416</v>
      </c>
      <c r="S39" s="145">
        <f>R39*(1+'Hipóteses xerais (2)'!$C$42)</f>
        <v>72.966980006628845</v>
      </c>
      <c r="T39" s="145">
        <f>S39*(1+'Hipóteses xerais (2)'!$C$42)</f>
        <v>75.301923366840967</v>
      </c>
      <c r="U39" s="145">
        <f>T39*(1+'Hipóteses xerais (2)'!$C$42)</f>
        <v>77.711584914579873</v>
      </c>
      <c r="V39" s="145">
        <f>U39*(1+'Hipóteses xerais (2)'!$C$42)</f>
        <v>80.198355631846425</v>
      </c>
      <c r="W39" s="145">
        <f>V39*(1+'Hipóteses xerais (2)'!$C$42)</f>
        <v>82.76470301206551</v>
      </c>
      <c r="X39" s="145">
        <f>W39*(1+'Hipóteses xerais (2)'!$C$42)</f>
        <v>85.413173508451607</v>
      </c>
      <c r="Y39" s="145">
        <f>X39*(1+'Hipóteses xerais (2)'!$C$42)</f>
        <v>88.146395060722057</v>
      </c>
      <c r="Z39" s="145">
        <f>Y39*(1+'Hipóteses xerais (2)'!$C$42)</f>
        <v>90.96707970266516</v>
      </c>
      <c r="AA39" s="145">
        <f>Z39*(1+'Hipóteses xerais (2)'!$C$42)</f>
        <v>93.878026253150452</v>
      </c>
      <c r="AB39" s="145">
        <f>AA39*(1+'Hipóteses xerais (2)'!$C$42)</f>
        <v>96.882123093251266</v>
      </c>
      <c r="AC39" s="145">
        <f>AB39*(1+'Hipóteses xerais (2)'!$C$42)</f>
        <v>99.982351032235314</v>
      </c>
      <c r="AD39" s="145">
        <f>AC39*(1+'Hipóteses xerais (2)'!$C$42)</f>
        <v>103.18178626526685</v>
      </c>
      <c r="AE39" s="671">
        <f t="shared" si="3"/>
        <v>1815.1126070548539</v>
      </c>
    </row>
    <row r="40" spans="1:31" s="13" customFormat="1" x14ac:dyDescent="0.3">
      <c r="C40" s="714" t="s">
        <v>894</v>
      </c>
      <c r="D40" s="174" t="e">
        <f t="shared" ref="D40:AD40" si="11">D19+D23+D33+D38+D39</f>
        <v>#N/A</v>
      </c>
      <c r="E40" s="174">
        <f t="shared" si="11"/>
        <v>0</v>
      </c>
      <c r="F40" s="174" t="e">
        <f t="shared" si="11"/>
        <v>#N/A</v>
      </c>
      <c r="G40" s="174" t="e">
        <f t="shared" si="11"/>
        <v>#N/A</v>
      </c>
      <c r="H40" s="174" t="e">
        <f t="shared" si="11"/>
        <v>#N/A</v>
      </c>
      <c r="I40" s="174" t="e">
        <f t="shared" si="11"/>
        <v>#N/A</v>
      </c>
      <c r="J40" s="174" t="e">
        <f t="shared" si="11"/>
        <v>#N/A</v>
      </c>
      <c r="K40" s="174" t="e">
        <f t="shared" si="11"/>
        <v>#N/A</v>
      </c>
      <c r="L40" s="174" t="e">
        <f t="shared" si="11"/>
        <v>#N/A</v>
      </c>
      <c r="M40" s="174" t="e">
        <f t="shared" si="11"/>
        <v>#N/A</v>
      </c>
      <c r="N40" s="174" t="e">
        <f t="shared" si="11"/>
        <v>#N/A</v>
      </c>
      <c r="O40" s="174" t="e">
        <f t="shared" si="11"/>
        <v>#N/A</v>
      </c>
      <c r="P40" s="174" t="e">
        <f t="shared" si="11"/>
        <v>#N/A</v>
      </c>
      <c r="Q40" s="174" t="e">
        <f t="shared" si="11"/>
        <v>#N/A</v>
      </c>
      <c r="R40" s="174" t="e">
        <f t="shared" si="11"/>
        <v>#N/A</v>
      </c>
      <c r="S40" s="174" t="e">
        <f t="shared" si="11"/>
        <v>#N/A</v>
      </c>
      <c r="T40" s="174" t="e">
        <f t="shared" si="11"/>
        <v>#N/A</v>
      </c>
      <c r="U40" s="174" t="e">
        <f t="shared" si="11"/>
        <v>#N/A</v>
      </c>
      <c r="V40" s="174" t="e">
        <f t="shared" si="11"/>
        <v>#N/A</v>
      </c>
      <c r="W40" s="174" t="e">
        <f t="shared" si="11"/>
        <v>#N/A</v>
      </c>
      <c r="X40" s="174" t="e">
        <f t="shared" si="11"/>
        <v>#N/A</v>
      </c>
      <c r="Y40" s="174" t="e">
        <f t="shared" si="11"/>
        <v>#N/A</v>
      </c>
      <c r="Z40" s="174" t="e">
        <f t="shared" si="11"/>
        <v>#N/A</v>
      </c>
      <c r="AA40" s="174" t="e">
        <f t="shared" si="11"/>
        <v>#N/A</v>
      </c>
      <c r="AB40" s="174" t="e">
        <f t="shared" si="11"/>
        <v>#N/A</v>
      </c>
      <c r="AC40" s="174" t="e">
        <f t="shared" si="11"/>
        <v>#N/A</v>
      </c>
      <c r="AD40" s="174" t="e">
        <f t="shared" si="11"/>
        <v>#N/A</v>
      </c>
      <c r="AE40" s="722" t="e">
        <f t="shared" si="3"/>
        <v>#N/A</v>
      </c>
    </row>
    <row r="41" spans="1:31" ht="15" thickBot="1" x14ac:dyDescent="0.35">
      <c r="C41" s="552"/>
      <c r="AE41" s="671">
        <f t="shared" si="3"/>
        <v>0</v>
      </c>
    </row>
    <row r="42" spans="1:31" s="64" customFormat="1" ht="30" thickTop="1" thickBot="1" x14ac:dyDescent="0.35">
      <c r="C42" s="721" t="s">
        <v>893</v>
      </c>
      <c r="D42" s="720" t="e">
        <f>D$15-D$40</f>
        <v>#N/A</v>
      </c>
      <c r="E42" s="720">
        <f>E13-E40</f>
        <v>0</v>
      </c>
      <c r="F42" s="720" t="e">
        <f t="shared" ref="F42:AD42" si="12">F$15-F$40</f>
        <v>#N/A</v>
      </c>
      <c r="G42" s="720" t="e">
        <f t="shared" si="12"/>
        <v>#N/A</v>
      </c>
      <c r="H42" s="720" t="e">
        <f t="shared" si="12"/>
        <v>#N/A</v>
      </c>
      <c r="I42" s="720" t="e">
        <f t="shared" si="12"/>
        <v>#N/A</v>
      </c>
      <c r="J42" s="720" t="e">
        <f t="shared" si="12"/>
        <v>#N/A</v>
      </c>
      <c r="K42" s="720" t="e">
        <f t="shared" si="12"/>
        <v>#N/A</v>
      </c>
      <c r="L42" s="720" t="e">
        <f t="shared" si="12"/>
        <v>#N/A</v>
      </c>
      <c r="M42" s="720" t="e">
        <f t="shared" si="12"/>
        <v>#N/A</v>
      </c>
      <c r="N42" s="720" t="e">
        <f t="shared" si="12"/>
        <v>#N/A</v>
      </c>
      <c r="O42" s="720" t="e">
        <f t="shared" si="12"/>
        <v>#N/A</v>
      </c>
      <c r="P42" s="720" t="e">
        <f t="shared" si="12"/>
        <v>#N/A</v>
      </c>
      <c r="Q42" s="720" t="e">
        <f t="shared" si="12"/>
        <v>#N/A</v>
      </c>
      <c r="R42" s="720" t="e">
        <f t="shared" si="12"/>
        <v>#N/A</v>
      </c>
      <c r="S42" s="720" t="e">
        <f t="shared" si="12"/>
        <v>#N/A</v>
      </c>
      <c r="T42" s="720" t="e">
        <f t="shared" si="12"/>
        <v>#N/A</v>
      </c>
      <c r="U42" s="720" t="e">
        <f t="shared" si="12"/>
        <v>#N/A</v>
      </c>
      <c r="V42" s="720" t="e">
        <f t="shared" si="12"/>
        <v>#N/A</v>
      </c>
      <c r="W42" s="720" t="e">
        <f t="shared" si="12"/>
        <v>#N/A</v>
      </c>
      <c r="X42" s="720" t="e">
        <f t="shared" si="12"/>
        <v>#N/A</v>
      </c>
      <c r="Y42" s="720" t="e">
        <f t="shared" si="12"/>
        <v>#N/A</v>
      </c>
      <c r="Z42" s="720" t="e">
        <f t="shared" si="12"/>
        <v>#N/A</v>
      </c>
      <c r="AA42" s="720" t="e">
        <f t="shared" si="12"/>
        <v>#N/A</v>
      </c>
      <c r="AB42" s="720" t="e">
        <f t="shared" si="12"/>
        <v>#N/A</v>
      </c>
      <c r="AC42" s="720" t="e">
        <f t="shared" si="12"/>
        <v>#N/A</v>
      </c>
      <c r="AD42" s="720" t="e">
        <f t="shared" si="12"/>
        <v>#N/A</v>
      </c>
      <c r="AE42" s="719" t="e">
        <f t="shared" si="3"/>
        <v>#N/A</v>
      </c>
    </row>
    <row r="43" spans="1:31" ht="15" thickTop="1" x14ac:dyDescent="0.3">
      <c r="A43">
        <v>0.15</v>
      </c>
      <c r="C43" s="555"/>
      <c r="AD43" s="13"/>
      <c r="AE43" s="671">
        <f t="shared" si="3"/>
        <v>0</v>
      </c>
    </row>
    <row r="44" spans="1:31" x14ac:dyDescent="0.3">
      <c r="B44" s="13">
        <v>681</v>
      </c>
      <c r="C44" s="714" t="s">
        <v>892</v>
      </c>
      <c r="D44" s="145" t="e">
        <f>IF('Hipóteses xerais (2)'!$C$94="Si",'Hipóteses xerais (2)'!$C$84,0)</f>
        <v>#N/A</v>
      </c>
      <c r="E44" s="145"/>
      <c r="F44" s="145" t="e">
        <f>D44</f>
        <v>#N/A</v>
      </c>
      <c r="G44" s="145" t="e">
        <f t="shared" ref="G44:AD44" si="13">F44</f>
        <v>#N/A</v>
      </c>
      <c r="H44" s="145" t="e">
        <f t="shared" si="13"/>
        <v>#N/A</v>
      </c>
      <c r="I44" s="145" t="e">
        <f t="shared" si="13"/>
        <v>#N/A</v>
      </c>
      <c r="J44" s="145" t="e">
        <f t="shared" si="13"/>
        <v>#N/A</v>
      </c>
      <c r="K44" s="145" t="e">
        <f t="shared" si="13"/>
        <v>#N/A</v>
      </c>
      <c r="L44" s="145" t="e">
        <f t="shared" si="13"/>
        <v>#N/A</v>
      </c>
      <c r="M44" s="145" t="e">
        <f t="shared" si="13"/>
        <v>#N/A</v>
      </c>
      <c r="N44" s="145" t="e">
        <f t="shared" si="13"/>
        <v>#N/A</v>
      </c>
      <c r="O44" s="145" t="e">
        <f t="shared" si="13"/>
        <v>#N/A</v>
      </c>
      <c r="P44" s="145" t="e">
        <f t="shared" si="13"/>
        <v>#N/A</v>
      </c>
      <c r="Q44" s="145" t="e">
        <f t="shared" si="13"/>
        <v>#N/A</v>
      </c>
      <c r="R44" s="145" t="e">
        <f t="shared" si="13"/>
        <v>#N/A</v>
      </c>
      <c r="S44" s="145" t="e">
        <f t="shared" si="13"/>
        <v>#N/A</v>
      </c>
      <c r="T44" s="145" t="e">
        <f t="shared" si="13"/>
        <v>#N/A</v>
      </c>
      <c r="U44" s="145" t="e">
        <f t="shared" si="13"/>
        <v>#N/A</v>
      </c>
      <c r="V44" s="145" t="e">
        <f t="shared" si="13"/>
        <v>#N/A</v>
      </c>
      <c r="W44" s="145" t="e">
        <f t="shared" si="13"/>
        <v>#N/A</v>
      </c>
      <c r="X44" s="145" t="e">
        <f t="shared" si="13"/>
        <v>#N/A</v>
      </c>
      <c r="Y44" s="145" t="e">
        <f t="shared" si="13"/>
        <v>#N/A</v>
      </c>
      <c r="Z44" s="145" t="e">
        <f t="shared" si="13"/>
        <v>#N/A</v>
      </c>
      <c r="AA44" s="145" t="e">
        <f t="shared" si="13"/>
        <v>#N/A</v>
      </c>
      <c r="AB44" s="145" t="e">
        <f t="shared" si="13"/>
        <v>#N/A</v>
      </c>
      <c r="AC44" s="145" t="e">
        <f t="shared" si="13"/>
        <v>#N/A</v>
      </c>
      <c r="AD44" s="145" t="e">
        <f t="shared" si="13"/>
        <v>#N/A</v>
      </c>
      <c r="AE44" s="671" t="e">
        <f t="shared" si="3"/>
        <v>#N/A</v>
      </c>
    </row>
    <row r="45" spans="1:31" x14ac:dyDescent="0.3">
      <c r="C45" s="714"/>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671">
        <f t="shared" si="3"/>
        <v>0</v>
      </c>
    </row>
    <row r="46" spans="1:31" s="64" customFormat="1" x14ac:dyDescent="0.3">
      <c r="C46" s="718" t="s">
        <v>891</v>
      </c>
      <c r="D46" s="717" t="e">
        <f t="shared" ref="D46:AD46" si="14">D42-D44</f>
        <v>#N/A</v>
      </c>
      <c r="E46" s="717">
        <f t="shared" si="14"/>
        <v>0</v>
      </c>
      <c r="F46" s="717" t="e">
        <f t="shared" si="14"/>
        <v>#N/A</v>
      </c>
      <c r="G46" s="717" t="e">
        <f t="shared" si="14"/>
        <v>#N/A</v>
      </c>
      <c r="H46" s="717" t="e">
        <f t="shared" si="14"/>
        <v>#N/A</v>
      </c>
      <c r="I46" s="717" t="e">
        <f t="shared" si="14"/>
        <v>#N/A</v>
      </c>
      <c r="J46" s="717" t="e">
        <f t="shared" si="14"/>
        <v>#N/A</v>
      </c>
      <c r="K46" s="717" t="e">
        <f t="shared" si="14"/>
        <v>#N/A</v>
      </c>
      <c r="L46" s="717" t="e">
        <f t="shared" si="14"/>
        <v>#N/A</v>
      </c>
      <c r="M46" s="717" t="e">
        <f t="shared" si="14"/>
        <v>#N/A</v>
      </c>
      <c r="N46" s="717" t="e">
        <f t="shared" si="14"/>
        <v>#N/A</v>
      </c>
      <c r="O46" s="717" t="e">
        <f t="shared" si="14"/>
        <v>#N/A</v>
      </c>
      <c r="P46" s="717" t="e">
        <f t="shared" si="14"/>
        <v>#N/A</v>
      </c>
      <c r="Q46" s="717" t="e">
        <f t="shared" si="14"/>
        <v>#N/A</v>
      </c>
      <c r="R46" s="717" t="e">
        <f t="shared" si="14"/>
        <v>#N/A</v>
      </c>
      <c r="S46" s="717" t="e">
        <f t="shared" si="14"/>
        <v>#N/A</v>
      </c>
      <c r="T46" s="717" t="e">
        <f t="shared" si="14"/>
        <v>#N/A</v>
      </c>
      <c r="U46" s="717" t="e">
        <f t="shared" si="14"/>
        <v>#N/A</v>
      </c>
      <c r="V46" s="717" t="e">
        <f t="shared" si="14"/>
        <v>#N/A</v>
      </c>
      <c r="W46" s="717" t="e">
        <f t="shared" si="14"/>
        <v>#N/A</v>
      </c>
      <c r="X46" s="717" t="e">
        <f t="shared" si="14"/>
        <v>#N/A</v>
      </c>
      <c r="Y46" s="717" t="e">
        <f t="shared" si="14"/>
        <v>#N/A</v>
      </c>
      <c r="Z46" s="717" t="e">
        <f t="shared" si="14"/>
        <v>#N/A</v>
      </c>
      <c r="AA46" s="717" t="e">
        <f t="shared" si="14"/>
        <v>#N/A</v>
      </c>
      <c r="AB46" s="717" t="e">
        <f t="shared" si="14"/>
        <v>#N/A</v>
      </c>
      <c r="AC46" s="717" t="e">
        <f t="shared" si="14"/>
        <v>#N/A</v>
      </c>
      <c r="AD46" s="717" t="e">
        <f t="shared" si="14"/>
        <v>#N/A</v>
      </c>
      <c r="AE46" s="716" t="e">
        <f t="shared" si="3"/>
        <v>#N/A</v>
      </c>
    </row>
    <row r="47" spans="1:31" x14ac:dyDescent="0.3">
      <c r="C47" s="166"/>
      <c r="AE47" s="671">
        <f t="shared" si="3"/>
        <v>0</v>
      </c>
    </row>
    <row r="48" spans="1:31" x14ac:dyDescent="0.3">
      <c r="C48" s="714" t="s">
        <v>890</v>
      </c>
      <c r="D48" s="145"/>
      <c r="E48" s="145"/>
      <c r="F48" s="145">
        <v>0</v>
      </c>
      <c r="G48" s="145">
        <f t="shared" ref="G48:AD48" si="15">F48</f>
        <v>0</v>
      </c>
      <c r="H48" s="145">
        <f t="shared" si="15"/>
        <v>0</v>
      </c>
      <c r="I48" s="145">
        <f t="shared" si="15"/>
        <v>0</v>
      </c>
      <c r="J48" s="145">
        <f t="shared" si="15"/>
        <v>0</v>
      </c>
      <c r="K48" s="145">
        <f t="shared" si="15"/>
        <v>0</v>
      </c>
      <c r="L48" s="145">
        <f t="shared" si="15"/>
        <v>0</v>
      </c>
      <c r="M48" s="145">
        <f t="shared" si="15"/>
        <v>0</v>
      </c>
      <c r="N48" s="145">
        <f t="shared" si="15"/>
        <v>0</v>
      </c>
      <c r="O48" s="145">
        <f t="shared" si="15"/>
        <v>0</v>
      </c>
      <c r="P48" s="145">
        <f t="shared" si="15"/>
        <v>0</v>
      </c>
      <c r="Q48" s="145">
        <f t="shared" si="15"/>
        <v>0</v>
      </c>
      <c r="R48" s="145">
        <f t="shared" si="15"/>
        <v>0</v>
      </c>
      <c r="S48" s="145">
        <f t="shared" si="15"/>
        <v>0</v>
      </c>
      <c r="T48" s="145">
        <f t="shared" si="15"/>
        <v>0</v>
      </c>
      <c r="U48" s="145">
        <f t="shared" si="15"/>
        <v>0</v>
      </c>
      <c r="V48" s="145">
        <f t="shared" si="15"/>
        <v>0</v>
      </c>
      <c r="W48" s="145">
        <f t="shared" si="15"/>
        <v>0</v>
      </c>
      <c r="X48" s="145">
        <f t="shared" si="15"/>
        <v>0</v>
      </c>
      <c r="Y48" s="145">
        <f t="shared" si="15"/>
        <v>0</v>
      </c>
      <c r="Z48" s="145">
        <f t="shared" si="15"/>
        <v>0</v>
      </c>
      <c r="AA48" s="145">
        <f t="shared" si="15"/>
        <v>0</v>
      </c>
      <c r="AB48" s="145">
        <f t="shared" si="15"/>
        <v>0</v>
      </c>
      <c r="AC48" s="145">
        <f t="shared" si="15"/>
        <v>0</v>
      </c>
      <c r="AD48" s="145">
        <f t="shared" si="15"/>
        <v>0</v>
      </c>
      <c r="AE48" s="671">
        <f t="shared" si="3"/>
        <v>0</v>
      </c>
    </row>
    <row r="49" spans="2:31" x14ac:dyDescent="0.3">
      <c r="C49" s="714" t="s">
        <v>889</v>
      </c>
      <c r="D49" s="145"/>
      <c r="E49" s="145"/>
      <c r="F49" s="145">
        <f>'x Financiamento'!C12+'x Financiamento'!D4</f>
        <v>0</v>
      </c>
      <c r="G49" s="145">
        <f>'x Financiamento'!C13</f>
        <v>0</v>
      </c>
      <c r="H49" s="145">
        <f>'x Financiamento'!C14</f>
        <v>0</v>
      </c>
      <c r="I49" s="145">
        <f>'x Financiamento'!C15</f>
        <v>0</v>
      </c>
      <c r="J49" s="145">
        <f>'x Financiamento'!C16</f>
        <v>0</v>
      </c>
      <c r="K49" s="145">
        <f>'x Financiamento'!C17</f>
        <v>0</v>
      </c>
      <c r="L49" s="145">
        <f>'x Financiamento'!C18</f>
        <v>0</v>
      </c>
      <c r="M49" s="145">
        <f>'x Financiamento'!C19</f>
        <v>0</v>
      </c>
      <c r="N49" s="145">
        <f>'x Financiamento'!C20</f>
        <v>0</v>
      </c>
      <c r="O49" s="145">
        <f>'x Financiamento'!C21</f>
        <v>0</v>
      </c>
      <c r="P49" s="145">
        <f>'x Financiamento'!C22</f>
        <v>0</v>
      </c>
      <c r="Q49" s="145">
        <f>'x Financiamento'!C23</f>
        <v>0</v>
      </c>
      <c r="R49" s="145">
        <f>'x Financiamento'!C24</f>
        <v>0</v>
      </c>
      <c r="S49" s="145">
        <f>'x Financiamento'!C25</f>
        <v>0</v>
      </c>
      <c r="T49" s="145">
        <f>'x Financiamento'!C26</f>
        <v>0</v>
      </c>
      <c r="U49" s="145">
        <f>'x Financiamento'!C27</f>
        <v>0</v>
      </c>
      <c r="V49" s="145">
        <f>'x Financiamento'!C28</f>
        <v>0</v>
      </c>
      <c r="W49" s="145">
        <f>'x Financiamento'!C29</f>
        <v>0</v>
      </c>
      <c r="X49" s="145">
        <f>'x Financiamento'!C30</f>
        <v>0</v>
      </c>
      <c r="Y49" s="145">
        <f>'x Financiamento'!C31</f>
        <v>0</v>
      </c>
      <c r="Z49" s="145">
        <f>'x Financiamento'!C32</f>
        <v>0</v>
      </c>
      <c r="AA49" s="145">
        <f>'x Financiamento'!C33</f>
        <v>0</v>
      </c>
      <c r="AB49" s="145">
        <f>'x Financiamento'!C34</f>
        <v>0</v>
      </c>
      <c r="AC49" s="145">
        <f>'x Financiamento'!C35</f>
        <v>0</v>
      </c>
      <c r="AD49" s="145">
        <f>'x Financiamento'!C36</f>
        <v>0</v>
      </c>
      <c r="AE49" s="671">
        <f t="shared" si="3"/>
        <v>0</v>
      </c>
    </row>
    <row r="50" spans="2:31" ht="15" thickBot="1" x14ac:dyDescent="0.35">
      <c r="C50" s="552"/>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711">
        <f t="shared" si="3"/>
        <v>0</v>
      </c>
    </row>
    <row r="51" spans="2:31" ht="15.6" thickTop="1" thickBot="1" x14ac:dyDescent="0.35">
      <c r="C51" s="710" t="s">
        <v>888</v>
      </c>
      <c r="D51" s="708"/>
      <c r="E51" s="708"/>
      <c r="F51" s="708" t="e">
        <f t="shared" ref="F51:AE51" si="16">F46+F48-F49</f>
        <v>#N/A</v>
      </c>
      <c r="G51" s="708" t="e">
        <f t="shared" si="16"/>
        <v>#N/A</v>
      </c>
      <c r="H51" s="708" t="e">
        <f t="shared" si="16"/>
        <v>#N/A</v>
      </c>
      <c r="I51" s="708" t="e">
        <f t="shared" si="16"/>
        <v>#N/A</v>
      </c>
      <c r="J51" s="708" t="e">
        <f t="shared" si="16"/>
        <v>#N/A</v>
      </c>
      <c r="K51" s="708" t="e">
        <f t="shared" si="16"/>
        <v>#N/A</v>
      </c>
      <c r="L51" s="708" t="e">
        <f t="shared" si="16"/>
        <v>#N/A</v>
      </c>
      <c r="M51" s="708" t="e">
        <f t="shared" si="16"/>
        <v>#N/A</v>
      </c>
      <c r="N51" s="708" t="e">
        <f t="shared" si="16"/>
        <v>#N/A</v>
      </c>
      <c r="O51" s="708" t="e">
        <f t="shared" si="16"/>
        <v>#N/A</v>
      </c>
      <c r="P51" s="708" t="e">
        <f t="shared" si="16"/>
        <v>#N/A</v>
      </c>
      <c r="Q51" s="708" t="e">
        <f t="shared" si="16"/>
        <v>#N/A</v>
      </c>
      <c r="R51" s="708" t="e">
        <f t="shared" si="16"/>
        <v>#N/A</v>
      </c>
      <c r="S51" s="708" t="e">
        <f t="shared" si="16"/>
        <v>#N/A</v>
      </c>
      <c r="T51" s="708" t="e">
        <f t="shared" si="16"/>
        <v>#N/A</v>
      </c>
      <c r="U51" s="708" t="e">
        <f t="shared" si="16"/>
        <v>#N/A</v>
      </c>
      <c r="V51" s="708" t="e">
        <f t="shared" si="16"/>
        <v>#N/A</v>
      </c>
      <c r="W51" s="708" t="e">
        <f t="shared" si="16"/>
        <v>#N/A</v>
      </c>
      <c r="X51" s="708" t="e">
        <f t="shared" si="16"/>
        <v>#N/A</v>
      </c>
      <c r="Y51" s="708" t="e">
        <f t="shared" si="16"/>
        <v>#N/A</v>
      </c>
      <c r="Z51" s="708" t="e">
        <f t="shared" si="16"/>
        <v>#N/A</v>
      </c>
      <c r="AA51" s="708" t="e">
        <f t="shared" si="16"/>
        <v>#N/A</v>
      </c>
      <c r="AB51" s="708" t="e">
        <f t="shared" si="16"/>
        <v>#N/A</v>
      </c>
      <c r="AC51" s="708" t="e">
        <f t="shared" si="16"/>
        <v>#N/A</v>
      </c>
      <c r="AD51" s="707" t="e">
        <f t="shared" si="16"/>
        <v>#N/A</v>
      </c>
      <c r="AE51" s="715" t="e">
        <f t="shared" si="16"/>
        <v>#N/A</v>
      </c>
    </row>
    <row r="52" spans="2:31" ht="15" thickTop="1" x14ac:dyDescent="0.3">
      <c r="C52" s="166"/>
      <c r="AD52" s="712"/>
      <c r="AE52" s="681">
        <f t="shared" ref="AE52:AE57" si="17">SUM(F52:AD52)</f>
        <v>0</v>
      </c>
    </row>
    <row r="53" spans="2:31" x14ac:dyDescent="0.3">
      <c r="B53" s="38">
        <v>0.25</v>
      </c>
      <c r="C53" s="714" t="s">
        <v>887</v>
      </c>
      <c r="F53" s="145" t="e">
        <f>F51*'Hipóteses xerais (2)'!$C$16</f>
        <v>#N/A</v>
      </c>
      <c r="G53" s="145" t="e">
        <f>G51*'Hipóteses xerais (2)'!$C$16</f>
        <v>#N/A</v>
      </c>
      <c r="H53" s="145" t="e">
        <f>H51*'Hipóteses xerais (2)'!$C$16</f>
        <v>#N/A</v>
      </c>
      <c r="I53" s="145" t="e">
        <f>I51*'Hipóteses xerais (2)'!$C$16</f>
        <v>#N/A</v>
      </c>
      <c r="J53" s="145" t="e">
        <f>J51*'Hipóteses xerais (2)'!$C$16</f>
        <v>#N/A</v>
      </c>
      <c r="K53" s="145" t="e">
        <f>K51*'Hipóteses xerais (2)'!$C$16</f>
        <v>#N/A</v>
      </c>
      <c r="L53" s="145" t="e">
        <f>L51*'Hipóteses xerais (2)'!$C$16</f>
        <v>#N/A</v>
      </c>
      <c r="M53" s="145" t="e">
        <f>M51*'Hipóteses xerais (2)'!$C$16</f>
        <v>#N/A</v>
      </c>
      <c r="N53" s="145" t="e">
        <f>N51*'Hipóteses xerais (2)'!$C$16</f>
        <v>#N/A</v>
      </c>
      <c r="O53" s="145" t="e">
        <f>O51*'Hipóteses xerais (2)'!$C$16</f>
        <v>#N/A</v>
      </c>
      <c r="P53" s="145" t="e">
        <f>P51*'Hipóteses xerais (2)'!$C$16</f>
        <v>#N/A</v>
      </c>
      <c r="Q53" s="145" t="e">
        <f>Q51*'Hipóteses xerais (2)'!$C$16</f>
        <v>#N/A</v>
      </c>
      <c r="R53" s="145" t="e">
        <f>R51*'Hipóteses xerais (2)'!$C$16</f>
        <v>#N/A</v>
      </c>
      <c r="S53" s="145" t="e">
        <f>S51*'Hipóteses xerais (2)'!$C$16</f>
        <v>#N/A</v>
      </c>
      <c r="T53" s="145" t="e">
        <f>T51*'Hipóteses xerais (2)'!$C$16</f>
        <v>#N/A</v>
      </c>
      <c r="U53" s="145" t="e">
        <f>U51*'Hipóteses xerais (2)'!$C$16</f>
        <v>#N/A</v>
      </c>
      <c r="V53" s="145" t="e">
        <f>V51*'Hipóteses xerais (2)'!$C$16</f>
        <v>#N/A</v>
      </c>
      <c r="W53" s="145" t="e">
        <f>W51*'Hipóteses xerais (2)'!$C$16</f>
        <v>#N/A</v>
      </c>
      <c r="X53" s="145" t="e">
        <f>X51*'Hipóteses xerais (2)'!$C$16</f>
        <v>#N/A</v>
      </c>
      <c r="Y53" s="145" t="e">
        <f>Y51*'Hipóteses xerais (2)'!$C$16</f>
        <v>#N/A</v>
      </c>
      <c r="Z53" s="145" t="e">
        <f>Z51*'Hipóteses xerais (2)'!$C$16</f>
        <v>#N/A</v>
      </c>
      <c r="AA53" s="145" t="e">
        <f>AA51*'Hipóteses xerais (2)'!$C$16</f>
        <v>#N/A</v>
      </c>
      <c r="AB53" s="145" t="e">
        <f>AB51*'Hipóteses xerais (2)'!$C$16</f>
        <v>#N/A</v>
      </c>
      <c r="AC53" s="145" t="e">
        <f>AC51*'Hipóteses xerais (2)'!$C$16</f>
        <v>#N/A</v>
      </c>
      <c r="AD53" s="713" t="e">
        <f>AD51*'Hipóteses xerais (2)'!$C$16</f>
        <v>#N/A</v>
      </c>
      <c r="AE53" s="671" t="e">
        <f t="shared" si="17"/>
        <v>#N/A</v>
      </c>
    </row>
    <row r="54" spans="2:31" x14ac:dyDescent="0.3">
      <c r="C54" s="166" t="s">
        <v>886</v>
      </c>
      <c r="H54" s="145"/>
      <c r="I54" s="145"/>
      <c r="J54" s="145"/>
      <c r="K54" s="145"/>
      <c r="L54" s="145"/>
      <c r="M54" s="145"/>
      <c r="N54" s="145"/>
      <c r="O54" s="145"/>
      <c r="P54" s="145"/>
      <c r="Q54" s="145"/>
      <c r="R54" s="145"/>
      <c r="S54" s="145"/>
      <c r="T54" s="145"/>
      <c r="AD54" s="712"/>
      <c r="AE54" s="671">
        <f t="shared" si="17"/>
        <v>0</v>
      </c>
    </row>
    <row r="55" spans="2:31" x14ac:dyDescent="0.3">
      <c r="C55" s="166" t="s">
        <v>885</v>
      </c>
      <c r="H55" s="145"/>
      <c r="I55" s="145"/>
      <c r="J55" s="145"/>
      <c r="K55" s="145"/>
      <c r="L55" s="145"/>
      <c r="M55" s="145"/>
      <c r="N55" s="145"/>
      <c r="O55" s="145"/>
      <c r="P55" s="145"/>
      <c r="Q55" s="145"/>
      <c r="R55" s="145"/>
      <c r="S55" s="145"/>
      <c r="T55" s="145"/>
      <c r="AD55" s="712"/>
      <c r="AE55" s="671">
        <f t="shared" si="17"/>
        <v>0</v>
      </c>
    </row>
    <row r="56" spans="2:31" ht="15" thickBot="1" x14ac:dyDescent="0.35">
      <c r="C56" s="166"/>
      <c r="AD56" s="712"/>
      <c r="AE56" s="711">
        <f t="shared" si="17"/>
        <v>0</v>
      </c>
    </row>
    <row r="57" spans="2:31" ht="15.6" thickTop="1" thickBot="1" x14ac:dyDescent="0.35">
      <c r="C57" s="710" t="s">
        <v>884</v>
      </c>
      <c r="D57" s="709"/>
      <c r="E57" s="709"/>
      <c r="F57" s="708" t="e">
        <f t="shared" ref="F57:AD57" si="18">F51-F53</f>
        <v>#N/A</v>
      </c>
      <c r="G57" s="708" t="e">
        <f t="shared" si="18"/>
        <v>#N/A</v>
      </c>
      <c r="H57" s="708" t="e">
        <f t="shared" si="18"/>
        <v>#N/A</v>
      </c>
      <c r="I57" s="708" t="e">
        <f t="shared" si="18"/>
        <v>#N/A</v>
      </c>
      <c r="J57" s="708" t="e">
        <f t="shared" si="18"/>
        <v>#N/A</v>
      </c>
      <c r="K57" s="708" t="e">
        <f t="shared" si="18"/>
        <v>#N/A</v>
      </c>
      <c r="L57" s="708" t="e">
        <f t="shared" si="18"/>
        <v>#N/A</v>
      </c>
      <c r="M57" s="708" t="e">
        <f t="shared" si="18"/>
        <v>#N/A</v>
      </c>
      <c r="N57" s="708" t="e">
        <f t="shared" si="18"/>
        <v>#N/A</v>
      </c>
      <c r="O57" s="708" t="e">
        <f t="shared" si="18"/>
        <v>#N/A</v>
      </c>
      <c r="P57" s="708" t="e">
        <f t="shared" si="18"/>
        <v>#N/A</v>
      </c>
      <c r="Q57" s="708" t="e">
        <f t="shared" si="18"/>
        <v>#N/A</v>
      </c>
      <c r="R57" s="708" t="e">
        <f t="shared" si="18"/>
        <v>#N/A</v>
      </c>
      <c r="S57" s="708" t="e">
        <f t="shared" si="18"/>
        <v>#N/A</v>
      </c>
      <c r="T57" s="708" t="e">
        <f t="shared" si="18"/>
        <v>#N/A</v>
      </c>
      <c r="U57" s="708" t="e">
        <f t="shared" si="18"/>
        <v>#N/A</v>
      </c>
      <c r="V57" s="708" t="e">
        <f t="shared" si="18"/>
        <v>#N/A</v>
      </c>
      <c r="W57" s="708" t="e">
        <f t="shared" si="18"/>
        <v>#N/A</v>
      </c>
      <c r="X57" s="708" t="e">
        <f t="shared" si="18"/>
        <v>#N/A</v>
      </c>
      <c r="Y57" s="708" t="e">
        <f t="shared" si="18"/>
        <v>#N/A</v>
      </c>
      <c r="Z57" s="708" t="e">
        <f t="shared" si="18"/>
        <v>#N/A</v>
      </c>
      <c r="AA57" s="708" t="e">
        <f t="shared" si="18"/>
        <v>#N/A</v>
      </c>
      <c r="AB57" s="708" t="e">
        <f t="shared" si="18"/>
        <v>#N/A</v>
      </c>
      <c r="AC57" s="708" t="e">
        <f t="shared" si="18"/>
        <v>#N/A</v>
      </c>
      <c r="AD57" s="707" t="e">
        <f t="shared" si="18"/>
        <v>#N/A</v>
      </c>
      <c r="AE57" s="706" t="e">
        <f t="shared" si="17"/>
        <v>#N/A</v>
      </c>
    </row>
    <row r="58" spans="2:31" ht="15" thickTop="1" x14ac:dyDescent="0.3"/>
    <row r="59" spans="2:31" ht="15" thickBot="1" x14ac:dyDescent="0.35">
      <c r="F59" s="145"/>
    </row>
    <row r="60" spans="2:31" ht="15" thickTop="1" x14ac:dyDescent="0.3">
      <c r="B60" s="145"/>
      <c r="C60" s="705" t="s">
        <v>883</v>
      </c>
      <c r="D60" s="1956"/>
      <c r="E60" s="1957"/>
      <c r="F60" s="702">
        <f t="shared" ref="F60:AE60" si="19">F4</f>
        <v>1</v>
      </c>
      <c r="G60" s="702">
        <f t="shared" si="19"/>
        <v>2</v>
      </c>
      <c r="H60" s="702">
        <f t="shared" si="19"/>
        <v>3</v>
      </c>
      <c r="I60" s="702">
        <f t="shared" si="19"/>
        <v>4</v>
      </c>
      <c r="J60" s="702">
        <f t="shared" si="19"/>
        <v>5</v>
      </c>
      <c r="K60" s="702">
        <f t="shared" si="19"/>
        <v>6</v>
      </c>
      <c r="L60" s="702">
        <f t="shared" si="19"/>
        <v>7</v>
      </c>
      <c r="M60" s="702">
        <f t="shared" si="19"/>
        <v>8</v>
      </c>
      <c r="N60" s="702">
        <f t="shared" si="19"/>
        <v>9</v>
      </c>
      <c r="O60" s="702">
        <f t="shared" si="19"/>
        <v>10</v>
      </c>
      <c r="P60" s="702">
        <f t="shared" si="19"/>
        <v>11</v>
      </c>
      <c r="Q60" s="702">
        <f t="shared" si="19"/>
        <v>12</v>
      </c>
      <c r="R60" s="702">
        <f t="shared" si="19"/>
        <v>13</v>
      </c>
      <c r="S60" s="702">
        <f t="shared" si="19"/>
        <v>14</v>
      </c>
      <c r="T60" s="702">
        <f t="shared" si="19"/>
        <v>15</v>
      </c>
      <c r="U60" s="702">
        <f t="shared" si="19"/>
        <v>16</v>
      </c>
      <c r="V60" s="702">
        <f t="shared" si="19"/>
        <v>17</v>
      </c>
      <c r="W60" s="702">
        <f t="shared" si="19"/>
        <v>18</v>
      </c>
      <c r="X60" s="702">
        <f t="shared" si="19"/>
        <v>19</v>
      </c>
      <c r="Y60" s="702">
        <f t="shared" si="19"/>
        <v>20</v>
      </c>
      <c r="Z60" s="702">
        <f t="shared" si="19"/>
        <v>21</v>
      </c>
      <c r="AA60" s="702">
        <f t="shared" si="19"/>
        <v>22</v>
      </c>
      <c r="AB60" s="702">
        <f t="shared" si="19"/>
        <v>23</v>
      </c>
      <c r="AC60" s="702">
        <f t="shared" si="19"/>
        <v>24</v>
      </c>
      <c r="AD60" s="702">
        <f t="shared" si="19"/>
        <v>25</v>
      </c>
      <c r="AE60" s="701" t="str">
        <f t="shared" si="19"/>
        <v>Valores Acumulados (Suma)</v>
      </c>
    </row>
    <row r="61" spans="2:31" ht="15" thickBot="1" x14ac:dyDescent="0.35">
      <c r="C61" s="700"/>
      <c r="D61" s="699"/>
      <c r="E61" s="698"/>
      <c r="F61" s="697">
        <f t="shared" ref="F61:AE61" si="20">F5</f>
        <v>2025</v>
      </c>
      <c r="G61" s="697">
        <f t="shared" si="20"/>
        <v>2026</v>
      </c>
      <c r="H61" s="697">
        <f t="shared" si="20"/>
        <v>2027</v>
      </c>
      <c r="I61" s="697">
        <f t="shared" si="20"/>
        <v>2028</v>
      </c>
      <c r="J61" s="697">
        <f t="shared" si="20"/>
        <v>2029</v>
      </c>
      <c r="K61" s="697">
        <f t="shared" si="20"/>
        <v>2030</v>
      </c>
      <c r="L61" s="697">
        <f t="shared" si="20"/>
        <v>2031</v>
      </c>
      <c r="M61" s="697">
        <f t="shared" si="20"/>
        <v>2032</v>
      </c>
      <c r="N61" s="697">
        <f t="shared" si="20"/>
        <v>2033</v>
      </c>
      <c r="O61" s="697">
        <f t="shared" si="20"/>
        <v>2034</v>
      </c>
      <c r="P61" s="697">
        <f t="shared" si="20"/>
        <v>2035</v>
      </c>
      <c r="Q61" s="697">
        <f t="shared" si="20"/>
        <v>2036</v>
      </c>
      <c r="R61" s="697">
        <f t="shared" si="20"/>
        <v>2037</v>
      </c>
      <c r="S61" s="697">
        <f t="shared" si="20"/>
        <v>2038</v>
      </c>
      <c r="T61" s="697">
        <f t="shared" si="20"/>
        <v>2039</v>
      </c>
      <c r="U61" s="697">
        <f t="shared" si="20"/>
        <v>2040</v>
      </c>
      <c r="V61" s="697">
        <f t="shared" si="20"/>
        <v>2041</v>
      </c>
      <c r="W61" s="697">
        <f t="shared" si="20"/>
        <v>2042</v>
      </c>
      <c r="X61" s="697">
        <f t="shared" si="20"/>
        <v>2043</v>
      </c>
      <c r="Y61" s="697">
        <f t="shared" si="20"/>
        <v>2044</v>
      </c>
      <c r="Z61" s="697">
        <f t="shared" si="20"/>
        <v>2045</v>
      </c>
      <c r="AA61" s="697">
        <f t="shared" si="20"/>
        <v>2046</v>
      </c>
      <c r="AB61" s="697">
        <f t="shared" si="20"/>
        <v>2047</v>
      </c>
      <c r="AC61" s="697">
        <f t="shared" si="20"/>
        <v>2048</v>
      </c>
      <c r="AD61" s="697">
        <f t="shared" si="20"/>
        <v>2049</v>
      </c>
      <c r="AE61" s="696" t="str">
        <f t="shared" si="20"/>
        <v>Vida Completa do Proxecto</v>
      </c>
    </row>
    <row r="62" spans="2:31" ht="14.55" customHeight="1" thickTop="1" x14ac:dyDescent="0.3">
      <c r="C62" s="695" t="s">
        <v>882</v>
      </c>
      <c r="D62" s="694"/>
      <c r="E62" s="694"/>
      <c r="F62" s="675" t="e">
        <f t="shared" ref="F62:AD62" si="21">F13</f>
        <v>#N/A</v>
      </c>
      <c r="G62" s="675" t="e">
        <f t="shared" si="21"/>
        <v>#N/A</v>
      </c>
      <c r="H62" s="675" t="e">
        <f t="shared" si="21"/>
        <v>#N/A</v>
      </c>
      <c r="I62" s="675" t="e">
        <f t="shared" si="21"/>
        <v>#N/A</v>
      </c>
      <c r="J62" s="675" t="e">
        <f t="shared" si="21"/>
        <v>#N/A</v>
      </c>
      <c r="K62" s="675" t="e">
        <f t="shared" si="21"/>
        <v>#N/A</v>
      </c>
      <c r="L62" s="675" t="e">
        <f t="shared" si="21"/>
        <v>#N/A</v>
      </c>
      <c r="M62" s="675" t="e">
        <f t="shared" si="21"/>
        <v>#N/A</v>
      </c>
      <c r="N62" s="675" t="e">
        <f t="shared" si="21"/>
        <v>#N/A</v>
      </c>
      <c r="O62" s="675" t="e">
        <f t="shared" si="21"/>
        <v>#N/A</v>
      </c>
      <c r="P62" s="675" t="e">
        <f t="shared" si="21"/>
        <v>#N/A</v>
      </c>
      <c r="Q62" s="675" t="e">
        <f t="shared" si="21"/>
        <v>#N/A</v>
      </c>
      <c r="R62" s="675" t="e">
        <f t="shared" si="21"/>
        <v>#N/A</v>
      </c>
      <c r="S62" s="675" t="e">
        <f t="shared" si="21"/>
        <v>#N/A</v>
      </c>
      <c r="T62" s="675" t="e">
        <f t="shared" si="21"/>
        <v>#N/A</v>
      </c>
      <c r="U62" s="675" t="e">
        <f t="shared" si="21"/>
        <v>#N/A</v>
      </c>
      <c r="V62" s="675" t="e">
        <f t="shared" si="21"/>
        <v>#N/A</v>
      </c>
      <c r="W62" s="675" t="e">
        <f t="shared" si="21"/>
        <v>#N/A</v>
      </c>
      <c r="X62" s="675" t="e">
        <f t="shared" si="21"/>
        <v>#N/A</v>
      </c>
      <c r="Y62" s="675" t="e">
        <f t="shared" si="21"/>
        <v>#N/A</v>
      </c>
      <c r="Z62" s="675" t="e">
        <f t="shared" si="21"/>
        <v>#N/A</v>
      </c>
      <c r="AA62" s="675" t="e">
        <f t="shared" si="21"/>
        <v>#N/A</v>
      </c>
      <c r="AB62" s="675" t="e">
        <f t="shared" si="21"/>
        <v>#N/A</v>
      </c>
      <c r="AC62" s="675" t="e">
        <f t="shared" si="21"/>
        <v>#N/A</v>
      </c>
      <c r="AD62" s="675" t="e">
        <f t="shared" si="21"/>
        <v>#N/A</v>
      </c>
      <c r="AE62" s="681" t="e">
        <f>SUM(F62:AD62)</f>
        <v>#N/A</v>
      </c>
    </row>
    <row r="63" spans="2:31" x14ac:dyDescent="0.3">
      <c r="C63" s="680" t="s">
        <v>881</v>
      </c>
      <c r="D63" s="679"/>
      <c r="E63" s="679"/>
      <c r="F63" s="678" t="e">
        <f t="shared" ref="F63:AD63" si="22">F14</f>
        <v>#N/A</v>
      </c>
      <c r="G63" s="678" t="e">
        <f t="shared" si="22"/>
        <v>#N/A</v>
      </c>
      <c r="H63" s="678" t="e">
        <f t="shared" si="22"/>
        <v>#N/A</v>
      </c>
      <c r="I63" s="678" t="e">
        <f t="shared" si="22"/>
        <v>#N/A</v>
      </c>
      <c r="J63" s="678" t="e">
        <f t="shared" si="22"/>
        <v>#N/A</v>
      </c>
      <c r="K63" s="678" t="e">
        <f t="shared" si="22"/>
        <v>#N/A</v>
      </c>
      <c r="L63" s="678" t="e">
        <f t="shared" si="22"/>
        <v>#N/A</v>
      </c>
      <c r="M63" s="678" t="e">
        <f t="shared" si="22"/>
        <v>#N/A</v>
      </c>
      <c r="N63" s="678" t="e">
        <f t="shared" si="22"/>
        <v>#N/A</v>
      </c>
      <c r="O63" s="678" t="e">
        <f t="shared" si="22"/>
        <v>#N/A</v>
      </c>
      <c r="P63" s="678" t="e">
        <f t="shared" si="22"/>
        <v>#N/A</v>
      </c>
      <c r="Q63" s="678" t="e">
        <f t="shared" si="22"/>
        <v>#N/A</v>
      </c>
      <c r="R63" s="678" t="e">
        <f t="shared" si="22"/>
        <v>#N/A</v>
      </c>
      <c r="S63" s="678" t="e">
        <f t="shared" si="22"/>
        <v>#N/A</v>
      </c>
      <c r="T63" s="678" t="e">
        <f t="shared" si="22"/>
        <v>#N/A</v>
      </c>
      <c r="U63" s="678" t="e">
        <f t="shared" si="22"/>
        <v>#N/A</v>
      </c>
      <c r="V63" s="678" t="e">
        <f t="shared" si="22"/>
        <v>#N/A</v>
      </c>
      <c r="W63" s="678" t="e">
        <f t="shared" si="22"/>
        <v>#N/A</v>
      </c>
      <c r="X63" s="678" t="e">
        <f t="shared" si="22"/>
        <v>#N/A</v>
      </c>
      <c r="Y63" s="678" t="e">
        <f t="shared" si="22"/>
        <v>#N/A</v>
      </c>
      <c r="Z63" s="678" t="e">
        <f t="shared" si="22"/>
        <v>#N/A</v>
      </c>
      <c r="AA63" s="678" t="e">
        <f t="shared" si="22"/>
        <v>#N/A</v>
      </c>
      <c r="AB63" s="678" t="e">
        <f t="shared" si="22"/>
        <v>#N/A</v>
      </c>
      <c r="AC63" s="678" t="e">
        <f t="shared" si="22"/>
        <v>#N/A</v>
      </c>
      <c r="AD63" s="678" t="e">
        <f t="shared" si="22"/>
        <v>#N/A</v>
      </c>
      <c r="AE63" s="677" t="e">
        <f>SUM(F63:AD63)</f>
        <v>#N/A</v>
      </c>
    </row>
    <row r="64" spans="2:31" x14ac:dyDescent="0.3">
      <c r="C64" s="693" t="s">
        <v>880</v>
      </c>
      <c r="D64" s="692"/>
      <c r="E64" s="692"/>
      <c r="F64" s="691" t="e">
        <f t="shared" ref="F64:AD64" si="23">SUM(F62:F63)</f>
        <v>#N/A</v>
      </c>
      <c r="G64" s="691" t="e">
        <f t="shared" si="23"/>
        <v>#N/A</v>
      </c>
      <c r="H64" s="691" t="e">
        <f t="shared" si="23"/>
        <v>#N/A</v>
      </c>
      <c r="I64" s="691" t="e">
        <f t="shared" si="23"/>
        <v>#N/A</v>
      </c>
      <c r="J64" s="691" t="e">
        <f t="shared" si="23"/>
        <v>#N/A</v>
      </c>
      <c r="K64" s="691" t="e">
        <f t="shared" si="23"/>
        <v>#N/A</v>
      </c>
      <c r="L64" s="691" t="e">
        <f t="shared" si="23"/>
        <v>#N/A</v>
      </c>
      <c r="M64" s="691" t="e">
        <f t="shared" si="23"/>
        <v>#N/A</v>
      </c>
      <c r="N64" s="691" t="e">
        <f t="shared" si="23"/>
        <v>#N/A</v>
      </c>
      <c r="O64" s="691" t="e">
        <f t="shared" si="23"/>
        <v>#N/A</v>
      </c>
      <c r="P64" s="691" t="e">
        <f t="shared" si="23"/>
        <v>#N/A</v>
      </c>
      <c r="Q64" s="691" t="e">
        <f t="shared" si="23"/>
        <v>#N/A</v>
      </c>
      <c r="R64" s="691" t="e">
        <f t="shared" si="23"/>
        <v>#N/A</v>
      </c>
      <c r="S64" s="691" t="e">
        <f t="shared" si="23"/>
        <v>#N/A</v>
      </c>
      <c r="T64" s="691" t="e">
        <f t="shared" si="23"/>
        <v>#N/A</v>
      </c>
      <c r="U64" s="691" t="e">
        <f t="shared" si="23"/>
        <v>#N/A</v>
      </c>
      <c r="V64" s="691" t="e">
        <f t="shared" si="23"/>
        <v>#N/A</v>
      </c>
      <c r="W64" s="691" t="e">
        <f t="shared" si="23"/>
        <v>#N/A</v>
      </c>
      <c r="X64" s="691" t="e">
        <f t="shared" si="23"/>
        <v>#N/A</v>
      </c>
      <c r="Y64" s="691" t="e">
        <f t="shared" si="23"/>
        <v>#N/A</v>
      </c>
      <c r="Z64" s="691" t="e">
        <f t="shared" si="23"/>
        <v>#N/A</v>
      </c>
      <c r="AA64" s="691" t="e">
        <f t="shared" si="23"/>
        <v>#N/A</v>
      </c>
      <c r="AB64" s="691" t="e">
        <f t="shared" si="23"/>
        <v>#N/A</v>
      </c>
      <c r="AC64" s="691" t="e">
        <f t="shared" si="23"/>
        <v>#N/A</v>
      </c>
      <c r="AD64" s="691" t="e">
        <f t="shared" si="23"/>
        <v>#N/A</v>
      </c>
      <c r="AE64" s="690" t="e">
        <f>SUM(F64:AD64)</f>
        <v>#N/A</v>
      </c>
    </row>
    <row r="65" spans="3:31" ht="15" thickBot="1" x14ac:dyDescent="0.35">
      <c r="C65" s="689" t="s">
        <v>879</v>
      </c>
      <c r="D65" s="688"/>
      <c r="E65" s="688"/>
      <c r="F65" s="687" t="e">
        <f>IF('Hipóteses xerais (2)'!$C$94="Si",(F40+F44+F49+('Hipóteses xerais (2)'!$C$89/'Hipóteses xerais (2)'!$C$11)),(F40+F44+F49))</f>
        <v>#N/A</v>
      </c>
      <c r="G65" s="687" t="e">
        <f>IF('Hipóteses xerais (2)'!$C$94="Si",(G40+G44+G49+('Hipóteses xerais (2)'!$C$89/'Hipóteses xerais (2)'!$C$11)),(G40+G44+G49))</f>
        <v>#N/A</v>
      </c>
      <c r="H65" s="687" t="e">
        <f>IF('Hipóteses xerais (2)'!$C$94="Si",(H40+H44+H49+('Hipóteses xerais (2)'!$C$89/'Hipóteses xerais (2)'!$C$11)),(H40+H44+H49))</f>
        <v>#N/A</v>
      </c>
      <c r="I65" s="687" t="e">
        <f>IF('Hipóteses xerais (2)'!$C$94="Si",(I40+I44+I49+('Hipóteses xerais (2)'!$C$89/'Hipóteses xerais (2)'!$C$11)),(I40+I44+I49))</f>
        <v>#N/A</v>
      </c>
      <c r="J65" s="687" t="e">
        <f>IF('Hipóteses xerais (2)'!$C$94="Si",(J40+J44+J49+('Hipóteses xerais (2)'!$C$89/'Hipóteses xerais (2)'!$C$11)),(J40+J44+J49))</f>
        <v>#N/A</v>
      </c>
      <c r="K65" s="687" t="e">
        <f>IF('Hipóteses xerais (2)'!$C$94="Si",(K40+K44+K49+('Hipóteses xerais (2)'!$C$89/'Hipóteses xerais (2)'!$C$11)),(K40+K44+K49))</f>
        <v>#N/A</v>
      </c>
      <c r="L65" s="687" t="e">
        <f>IF('Hipóteses xerais (2)'!$C$94="Si",(L40+L44+L49+('Hipóteses xerais (2)'!$C$89/'Hipóteses xerais (2)'!$C$11)),(L40+L44+L49))</f>
        <v>#N/A</v>
      </c>
      <c r="M65" s="687" t="e">
        <f>IF('Hipóteses xerais (2)'!$C$94="Si",(M40+M44+M49+('Hipóteses xerais (2)'!$C$89/'Hipóteses xerais (2)'!$C$11)),(M40+M44+M49))</f>
        <v>#N/A</v>
      </c>
      <c r="N65" s="687" t="e">
        <f>IF('Hipóteses xerais (2)'!$C$94="Si",(N40+N44+N49+('Hipóteses xerais (2)'!$C$89/'Hipóteses xerais (2)'!$C$11)),(N40+N44+N49))</f>
        <v>#N/A</v>
      </c>
      <c r="O65" s="687" t="e">
        <f>IF('Hipóteses xerais (2)'!$C$94="Si",(O40+O44+O49+('Hipóteses xerais (2)'!$C$89/'Hipóteses xerais (2)'!$C$11)),(O40+O44+O49))</f>
        <v>#N/A</v>
      </c>
      <c r="P65" s="687" t="e">
        <f>IF('Hipóteses xerais (2)'!$C$94="Si",(P40+P44+P49+('Hipóteses xerais (2)'!$C$89/'Hipóteses xerais (2)'!$C$11)),(P40+P44+P49))</f>
        <v>#N/A</v>
      </c>
      <c r="Q65" s="687" t="e">
        <f>IF('Hipóteses xerais (2)'!$C$94="Si",(Q40+Q44+Q49+('Hipóteses xerais (2)'!$C$89/'Hipóteses xerais (2)'!$C$11)),(Q40+Q44+Q49))</f>
        <v>#N/A</v>
      </c>
      <c r="R65" s="687" t="e">
        <f>IF('Hipóteses xerais (2)'!$C$94="Si",(R40+R44+R49+('Hipóteses xerais (2)'!$C$89/'Hipóteses xerais (2)'!$C$11)),(R40+R44+R49))</f>
        <v>#N/A</v>
      </c>
      <c r="S65" s="687" t="e">
        <f>IF('Hipóteses xerais (2)'!$C$94="Si",(S40+S44+S49+('Hipóteses xerais (2)'!$C$89/'Hipóteses xerais (2)'!$C$11)),(S40+S44+S49))</f>
        <v>#N/A</v>
      </c>
      <c r="T65" s="687" t="e">
        <f>IF('Hipóteses xerais (2)'!$C$94="Si",(T40+T44+T49+('Hipóteses xerais (2)'!$C$89/'Hipóteses xerais (2)'!$C$11)),(T40+T44+T49))</f>
        <v>#N/A</v>
      </c>
      <c r="U65" s="687" t="e">
        <f>IF('Hipóteses xerais (2)'!$C$94="Si",(U40+U44+U49+('Hipóteses xerais (2)'!$C$89/'Hipóteses xerais (2)'!$C$11)),(U40+U44+U49))</f>
        <v>#N/A</v>
      </c>
      <c r="V65" s="687" t="e">
        <f>IF('Hipóteses xerais (2)'!$C$94="Si",(V40+V44+V49+('Hipóteses xerais (2)'!$C$89/'Hipóteses xerais (2)'!$C$11)),(V40+V44+V49))</f>
        <v>#N/A</v>
      </c>
      <c r="W65" s="687" t="e">
        <f>IF('Hipóteses xerais (2)'!$C$94="Si",(W40+W44+W49+('Hipóteses xerais (2)'!$C$89/'Hipóteses xerais (2)'!$C$11)),(W40+W44+W49))</f>
        <v>#N/A</v>
      </c>
      <c r="X65" s="687" t="e">
        <f>IF('Hipóteses xerais (2)'!$C$94="Si",(X40+X44+X49+('Hipóteses xerais (2)'!$C$89/'Hipóteses xerais (2)'!$C$11)),(X40+X44+X49))</f>
        <v>#N/A</v>
      </c>
      <c r="Y65" s="687" t="e">
        <f>IF('Hipóteses xerais (2)'!$C$94="Si",(Y40+Y44+Y49+('Hipóteses xerais (2)'!$C$89/'Hipóteses xerais (2)'!$C$11)),(Y40+Y44+Y49))</f>
        <v>#N/A</v>
      </c>
      <c r="Z65" s="687" t="e">
        <f>IF('Hipóteses xerais (2)'!$C$94="Si",(Z40+Z44+Z49+('Hipóteses xerais (2)'!$C$89/'Hipóteses xerais (2)'!$C$11)),(Z40+Z44+Z49))</f>
        <v>#N/A</v>
      </c>
      <c r="AA65" s="687" t="e">
        <f>IF('Hipóteses xerais (2)'!$C$94="Si",(AA40+AA44+AA49+('Hipóteses xerais (2)'!$C$89/'Hipóteses xerais (2)'!$C$11)),(AA40+AA44+AA49))</f>
        <v>#N/A</v>
      </c>
      <c r="AB65" s="687" t="e">
        <f>IF('Hipóteses xerais (2)'!$C$94="Si",(AB40+AB44+AB49+('Hipóteses xerais (2)'!$C$89/'Hipóteses xerais (2)'!$C$11)),(AB40+AB44+AB49))</f>
        <v>#N/A</v>
      </c>
      <c r="AC65" s="687" t="e">
        <f>IF('Hipóteses xerais (2)'!$C$94="Si",(AC40+AC44+AC49+('Hipóteses xerais (2)'!$C$89/'Hipóteses xerais (2)'!$C$11)),(AC40+AC44+AC49))</f>
        <v>#N/A</v>
      </c>
      <c r="AD65" s="687" t="e">
        <f>IF('Hipóteses xerais (2)'!$C$94="Si",(AD40+AD44+AD49+('Hipóteses xerais (2)'!$C$89/'Hipóteses xerais (2)'!$C$11)),(AD40+AD44+AD49))</f>
        <v>#N/A</v>
      </c>
      <c r="AE65" s="686" t="e">
        <f>SUM(F65:AD65)</f>
        <v>#N/A</v>
      </c>
    </row>
    <row r="66" spans="3:31" ht="15" thickBot="1" x14ac:dyDescent="0.35">
      <c r="C66" s="685" t="s">
        <v>878</v>
      </c>
      <c r="D66" s="684"/>
      <c r="E66" s="684"/>
      <c r="F66" s="683" t="e">
        <f t="shared" ref="F66:AE66" si="24">F64-F65</f>
        <v>#N/A</v>
      </c>
      <c r="G66" s="683" t="e">
        <f t="shared" si="24"/>
        <v>#N/A</v>
      </c>
      <c r="H66" s="683" t="e">
        <f t="shared" si="24"/>
        <v>#N/A</v>
      </c>
      <c r="I66" s="683" t="e">
        <f t="shared" si="24"/>
        <v>#N/A</v>
      </c>
      <c r="J66" s="683" t="e">
        <f t="shared" si="24"/>
        <v>#N/A</v>
      </c>
      <c r="K66" s="683" t="e">
        <f t="shared" si="24"/>
        <v>#N/A</v>
      </c>
      <c r="L66" s="683" t="e">
        <f t="shared" si="24"/>
        <v>#N/A</v>
      </c>
      <c r="M66" s="683" t="e">
        <f t="shared" si="24"/>
        <v>#N/A</v>
      </c>
      <c r="N66" s="683" t="e">
        <f t="shared" si="24"/>
        <v>#N/A</v>
      </c>
      <c r="O66" s="683" t="e">
        <f t="shared" si="24"/>
        <v>#N/A</v>
      </c>
      <c r="P66" s="683" t="e">
        <f t="shared" si="24"/>
        <v>#N/A</v>
      </c>
      <c r="Q66" s="683" t="e">
        <f t="shared" si="24"/>
        <v>#N/A</v>
      </c>
      <c r="R66" s="683" t="e">
        <f t="shared" si="24"/>
        <v>#N/A</v>
      </c>
      <c r="S66" s="683" t="e">
        <f t="shared" si="24"/>
        <v>#N/A</v>
      </c>
      <c r="T66" s="683" t="e">
        <f t="shared" si="24"/>
        <v>#N/A</v>
      </c>
      <c r="U66" s="683" t="e">
        <f t="shared" si="24"/>
        <v>#N/A</v>
      </c>
      <c r="V66" s="683" t="e">
        <f t="shared" si="24"/>
        <v>#N/A</v>
      </c>
      <c r="W66" s="683" t="e">
        <f t="shared" si="24"/>
        <v>#N/A</v>
      </c>
      <c r="X66" s="683" t="e">
        <f t="shared" si="24"/>
        <v>#N/A</v>
      </c>
      <c r="Y66" s="683" t="e">
        <f t="shared" si="24"/>
        <v>#N/A</v>
      </c>
      <c r="Z66" s="683" t="e">
        <f t="shared" si="24"/>
        <v>#N/A</v>
      </c>
      <c r="AA66" s="683" t="e">
        <f t="shared" si="24"/>
        <v>#N/A</v>
      </c>
      <c r="AB66" s="683" t="e">
        <f t="shared" si="24"/>
        <v>#N/A</v>
      </c>
      <c r="AC66" s="683" t="e">
        <f t="shared" si="24"/>
        <v>#N/A</v>
      </c>
      <c r="AD66" s="683" t="e">
        <f t="shared" si="24"/>
        <v>#N/A</v>
      </c>
      <c r="AE66" s="668" t="e">
        <f t="shared" si="24"/>
        <v>#N/A</v>
      </c>
    </row>
    <row r="68" spans="3:31" x14ac:dyDescent="0.3">
      <c r="D68" s="145"/>
      <c r="E68" s="145"/>
      <c r="F68" s="145"/>
      <c r="G68" s="145"/>
    </row>
    <row r="69" spans="3:31" x14ac:dyDescent="0.3">
      <c r="C69" s="13" t="s">
        <v>877</v>
      </c>
      <c r="D69" s="682"/>
      <c r="E69" s="682"/>
    </row>
    <row r="70" spans="3:31" ht="15" thickBot="1" x14ac:dyDescent="0.35">
      <c r="D70" s="145"/>
      <c r="E70" s="145"/>
    </row>
    <row r="71" spans="3:31" ht="15" thickTop="1" x14ac:dyDescent="0.3">
      <c r="C71" s="667" t="s">
        <v>876</v>
      </c>
      <c r="D71" s="666"/>
      <c r="E71" s="666"/>
      <c r="F71" s="675" t="e">
        <f t="shared" ref="F71:AD71" si="25">F65</f>
        <v>#N/A</v>
      </c>
      <c r="G71" s="675" t="e">
        <f t="shared" si="25"/>
        <v>#N/A</v>
      </c>
      <c r="H71" s="675" t="e">
        <f t="shared" si="25"/>
        <v>#N/A</v>
      </c>
      <c r="I71" s="675" t="e">
        <f t="shared" si="25"/>
        <v>#N/A</v>
      </c>
      <c r="J71" s="675" t="e">
        <f t="shared" si="25"/>
        <v>#N/A</v>
      </c>
      <c r="K71" s="675" t="e">
        <f t="shared" si="25"/>
        <v>#N/A</v>
      </c>
      <c r="L71" s="675" t="e">
        <f t="shared" si="25"/>
        <v>#N/A</v>
      </c>
      <c r="M71" s="675" t="e">
        <f t="shared" si="25"/>
        <v>#N/A</v>
      </c>
      <c r="N71" s="675" t="e">
        <f t="shared" si="25"/>
        <v>#N/A</v>
      </c>
      <c r="O71" s="675" t="e">
        <f t="shared" si="25"/>
        <v>#N/A</v>
      </c>
      <c r="P71" s="675" t="e">
        <f t="shared" si="25"/>
        <v>#N/A</v>
      </c>
      <c r="Q71" s="675" t="e">
        <f t="shared" si="25"/>
        <v>#N/A</v>
      </c>
      <c r="R71" s="675" t="e">
        <f t="shared" si="25"/>
        <v>#N/A</v>
      </c>
      <c r="S71" s="675" t="e">
        <f t="shared" si="25"/>
        <v>#N/A</v>
      </c>
      <c r="T71" s="675" t="e">
        <f t="shared" si="25"/>
        <v>#N/A</v>
      </c>
      <c r="U71" s="675" t="e">
        <f t="shared" si="25"/>
        <v>#N/A</v>
      </c>
      <c r="V71" s="675" t="e">
        <f t="shared" si="25"/>
        <v>#N/A</v>
      </c>
      <c r="W71" s="675" t="e">
        <f t="shared" si="25"/>
        <v>#N/A</v>
      </c>
      <c r="X71" s="675" t="e">
        <f t="shared" si="25"/>
        <v>#N/A</v>
      </c>
      <c r="Y71" s="675" t="e">
        <f t="shared" si="25"/>
        <v>#N/A</v>
      </c>
      <c r="Z71" s="675" t="e">
        <f t="shared" si="25"/>
        <v>#N/A</v>
      </c>
      <c r="AA71" s="675" t="e">
        <f t="shared" si="25"/>
        <v>#N/A</v>
      </c>
      <c r="AB71" s="675" t="e">
        <f t="shared" si="25"/>
        <v>#N/A</v>
      </c>
      <c r="AC71" s="675" t="e">
        <f t="shared" si="25"/>
        <v>#N/A</v>
      </c>
      <c r="AD71" s="675" t="e">
        <f t="shared" si="25"/>
        <v>#N/A</v>
      </c>
      <c r="AE71" s="681" t="e">
        <f>SUM(F71:AD71)</f>
        <v>#N/A</v>
      </c>
    </row>
    <row r="72" spans="3:31" x14ac:dyDescent="0.3">
      <c r="C72" s="680" t="s">
        <v>875</v>
      </c>
      <c r="D72" s="679"/>
      <c r="E72" s="679"/>
      <c r="F72" s="678" t="e">
        <f>IF('Hipóteses xerais (2)'!$E$64="Si",(('Hipóteses xerais (2)'!$C$62-('Hipóteses xerais (2)'!$C$91-'Hipóteses xerais (2)'!$F$35))/'Hipóteses xerais (2)'!$C$11), 0)</f>
        <v>#N/A</v>
      </c>
      <c r="G72" s="678" t="e">
        <f>IF('Hipóteses xerais (2)'!$E$64="Si",(('Hipóteses xerais (2)'!$C$62-('Hipóteses xerais (2)'!$C$91-'Hipóteses xerais (2)'!$F$35))/'Hipóteses xerais (2)'!$C$11), 0)</f>
        <v>#N/A</v>
      </c>
      <c r="H72" s="678" t="e">
        <f>IF('Hipóteses xerais (2)'!$E$64="Si",(('Hipóteses xerais (2)'!$C$62-('Hipóteses xerais (2)'!$C$91-'Hipóteses xerais (2)'!$F$35))/'Hipóteses xerais (2)'!$C$11), 0)</f>
        <v>#N/A</v>
      </c>
      <c r="I72" s="678" t="e">
        <f>IF('Hipóteses xerais (2)'!$E$64="Si",(('Hipóteses xerais (2)'!$C$62-('Hipóteses xerais (2)'!$C$91-'Hipóteses xerais (2)'!$F$35))/'Hipóteses xerais (2)'!$C$11), 0)</f>
        <v>#N/A</v>
      </c>
      <c r="J72" s="678" t="e">
        <f>IF('Hipóteses xerais (2)'!$E$64="Si",(('Hipóteses xerais (2)'!$C$62-('Hipóteses xerais (2)'!$C$91-'Hipóteses xerais (2)'!$F$35))/'Hipóteses xerais (2)'!$C$11), 0)</f>
        <v>#N/A</v>
      </c>
      <c r="K72" s="678" t="e">
        <f>IF('Hipóteses xerais (2)'!$E$64="Si",(('Hipóteses xerais (2)'!$C$62-('Hipóteses xerais (2)'!$C$91-'Hipóteses xerais (2)'!$F$35))/'Hipóteses xerais (2)'!$C$11), 0)</f>
        <v>#N/A</v>
      </c>
      <c r="L72" s="678" t="e">
        <f>IF('Hipóteses xerais (2)'!$E$64="Si",(('Hipóteses xerais (2)'!$C$62-('Hipóteses xerais (2)'!$C$91-'Hipóteses xerais (2)'!$F$35))/'Hipóteses xerais (2)'!$C$11), 0)</f>
        <v>#N/A</v>
      </c>
      <c r="M72" s="678" t="e">
        <f>IF('Hipóteses xerais (2)'!$E$64="Si",(('Hipóteses xerais (2)'!$C$62-('Hipóteses xerais (2)'!$C$91-'Hipóteses xerais (2)'!$F$35))/'Hipóteses xerais (2)'!$C$11), 0)</f>
        <v>#N/A</v>
      </c>
      <c r="N72" s="678" t="e">
        <f>IF('Hipóteses xerais (2)'!$E$64="Si",(('Hipóteses xerais (2)'!$C$62-('Hipóteses xerais (2)'!$C$91-'Hipóteses xerais (2)'!$F$35))/'Hipóteses xerais (2)'!$C$11), 0)</f>
        <v>#N/A</v>
      </c>
      <c r="O72" s="678" t="e">
        <f>IF('Hipóteses xerais (2)'!$E$64="Si",(('Hipóteses xerais (2)'!$C$62-('Hipóteses xerais (2)'!$C$91-'Hipóteses xerais (2)'!$F$35))/'Hipóteses xerais (2)'!$C$11), 0)</f>
        <v>#N/A</v>
      </c>
      <c r="P72" s="678" t="e">
        <f>IF('Hipóteses xerais (2)'!$E$64="Si",(('Hipóteses xerais (2)'!$C$62-('Hipóteses xerais (2)'!$C$91-'Hipóteses xerais (2)'!$F$35))/'Hipóteses xerais (2)'!$C$11), 0)</f>
        <v>#N/A</v>
      </c>
      <c r="Q72" s="678" t="e">
        <f>IF('Hipóteses xerais (2)'!$E$64="Si",(('Hipóteses xerais (2)'!$C$62-('Hipóteses xerais (2)'!$C$91-'Hipóteses xerais (2)'!$F$35))/'Hipóteses xerais (2)'!$C$11), 0)</f>
        <v>#N/A</v>
      </c>
      <c r="R72" s="678" t="e">
        <f>IF('Hipóteses xerais (2)'!$E$64="Si",(('Hipóteses xerais (2)'!$C$62-('Hipóteses xerais (2)'!$C$91-'Hipóteses xerais (2)'!$F$35))/'Hipóteses xerais (2)'!$C$11), 0)</f>
        <v>#N/A</v>
      </c>
      <c r="S72" s="678" t="e">
        <f>IF('Hipóteses xerais (2)'!$E$64="Si",(('Hipóteses xerais (2)'!$C$62-('Hipóteses xerais (2)'!$C$91-'Hipóteses xerais (2)'!$F$35))/'Hipóteses xerais (2)'!$C$11), 0)</f>
        <v>#N/A</v>
      </c>
      <c r="T72" s="678" t="e">
        <f>IF('Hipóteses xerais (2)'!$E$64="Si",(('Hipóteses xerais (2)'!$C$62-('Hipóteses xerais (2)'!$C$91-'Hipóteses xerais (2)'!$F$35))/'Hipóteses xerais (2)'!$C$11), 0)</f>
        <v>#N/A</v>
      </c>
      <c r="U72" s="678" t="e">
        <f>IF('Hipóteses xerais (2)'!$E$64="Si",(('Hipóteses xerais (2)'!$C$62-('Hipóteses xerais (2)'!$C$91-'Hipóteses xerais (2)'!$F$35))/'Hipóteses xerais (2)'!$C$11), 0)</f>
        <v>#N/A</v>
      </c>
      <c r="V72" s="678" t="e">
        <f>IF('Hipóteses xerais (2)'!$E$64="Si",(('Hipóteses xerais (2)'!$C$62-('Hipóteses xerais (2)'!$C$91-'Hipóteses xerais (2)'!$F$35))/'Hipóteses xerais (2)'!$C$11), 0)</f>
        <v>#N/A</v>
      </c>
      <c r="W72" s="678" t="e">
        <f>IF('Hipóteses xerais (2)'!$E$64="Si",(('Hipóteses xerais (2)'!$C$62-('Hipóteses xerais (2)'!$C$91-'Hipóteses xerais (2)'!$F$35))/'Hipóteses xerais (2)'!$C$11), 0)</f>
        <v>#N/A</v>
      </c>
      <c r="X72" s="678" t="e">
        <f>IF('Hipóteses xerais (2)'!$E$64="Si",(('Hipóteses xerais (2)'!$C$62-('Hipóteses xerais (2)'!$C$91-'Hipóteses xerais (2)'!$F$35))/'Hipóteses xerais (2)'!$C$11), 0)</f>
        <v>#N/A</v>
      </c>
      <c r="Y72" s="678" t="e">
        <f>IF('Hipóteses xerais (2)'!$E$64="Si",(('Hipóteses xerais (2)'!$C$62-('Hipóteses xerais (2)'!$C$91-'Hipóteses xerais (2)'!$F$35))/'Hipóteses xerais (2)'!$C$11), 0)</f>
        <v>#N/A</v>
      </c>
      <c r="Z72" s="678" t="e">
        <f>IF('Hipóteses xerais (2)'!$E$64="Si",(('Hipóteses xerais (2)'!$C$62-('Hipóteses xerais (2)'!$C$91-'Hipóteses xerais (2)'!$F$35))/'Hipóteses xerais (2)'!$C$11), 0)</f>
        <v>#N/A</v>
      </c>
      <c r="AA72" s="678" t="e">
        <f>IF('Hipóteses xerais (2)'!$E$64="Si",(('Hipóteses xerais (2)'!$C$62-('Hipóteses xerais (2)'!$C$91-'Hipóteses xerais (2)'!$F$35))/'Hipóteses xerais (2)'!$C$11), 0)</f>
        <v>#N/A</v>
      </c>
      <c r="AB72" s="678" t="e">
        <f>IF('Hipóteses xerais (2)'!$E$64="Si",(('Hipóteses xerais (2)'!$C$62-('Hipóteses xerais (2)'!$C$91-'Hipóteses xerais (2)'!$F$35))/'Hipóteses xerais (2)'!$C$11), 0)</f>
        <v>#N/A</v>
      </c>
      <c r="AC72" s="678" t="e">
        <f>IF('Hipóteses xerais (2)'!$E$64="Si",(('Hipóteses xerais (2)'!$C$62-('Hipóteses xerais (2)'!$C$91-'Hipóteses xerais (2)'!$F$35))/'Hipóteses xerais (2)'!$C$11), 0)</f>
        <v>#N/A</v>
      </c>
      <c r="AD72" s="678" t="e">
        <f>IF('Hipóteses xerais (2)'!$E$64="Si",(('Hipóteses xerais (2)'!$C$62-('Hipóteses xerais (2)'!$C$91-'Hipóteses xerais (2)'!$F$35))/'Hipóteses xerais (2)'!$C$11), 0)</f>
        <v>#N/A</v>
      </c>
      <c r="AE72" s="677" t="e">
        <f>SUM(F72:AD72)</f>
        <v>#N/A</v>
      </c>
    </row>
    <row r="73" spans="3:31" x14ac:dyDescent="0.3">
      <c r="C73" s="667" t="s">
        <v>874</v>
      </c>
      <c r="D73" s="666"/>
      <c r="E73" s="666"/>
      <c r="F73" s="676" t="e">
        <f t="shared" ref="F73:AE73" si="26">F71-F72</f>
        <v>#N/A</v>
      </c>
      <c r="G73" s="676" t="e">
        <f t="shared" si="26"/>
        <v>#N/A</v>
      </c>
      <c r="H73" s="676" t="e">
        <f t="shared" si="26"/>
        <v>#N/A</v>
      </c>
      <c r="I73" s="676" t="e">
        <f t="shared" si="26"/>
        <v>#N/A</v>
      </c>
      <c r="J73" s="676" t="e">
        <f t="shared" si="26"/>
        <v>#N/A</v>
      </c>
      <c r="K73" s="676" t="e">
        <f t="shared" si="26"/>
        <v>#N/A</v>
      </c>
      <c r="L73" s="676" t="e">
        <f t="shared" si="26"/>
        <v>#N/A</v>
      </c>
      <c r="M73" s="676" t="e">
        <f t="shared" si="26"/>
        <v>#N/A</v>
      </c>
      <c r="N73" s="676" t="e">
        <f t="shared" si="26"/>
        <v>#N/A</v>
      </c>
      <c r="O73" s="676" t="e">
        <f t="shared" si="26"/>
        <v>#N/A</v>
      </c>
      <c r="P73" s="676" t="e">
        <f t="shared" si="26"/>
        <v>#N/A</v>
      </c>
      <c r="Q73" s="676" t="e">
        <f t="shared" si="26"/>
        <v>#N/A</v>
      </c>
      <c r="R73" s="676" t="e">
        <f t="shared" si="26"/>
        <v>#N/A</v>
      </c>
      <c r="S73" s="676" t="e">
        <f t="shared" si="26"/>
        <v>#N/A</v>
      </c>
      <c r="T73" s="676" t="e">
        <f t="shared" si="26"/>
        <v>#N/A</v>
      </c>
      <c r="U73" s="676" t="e">
        <f t="shared" si="26"/>
        <v>#N/A</v>
      </c>
      <c r="V73" s="676" t="e">
        <f t="shared" si="26"/>
        <v>#N/A</v>
      </c>
      <c r="W73" s="676" t="e">
        <f t="shared" si="26"/>
        <v>#N/A</v>
      </c>
      <c r="X73" s="676" t="e">
        <f t="shared" si="26"/>
        <v>#N/A</v>
      </c>
      <c r="Y73" s="676" t="e">
        <f t="shared" si="26"/>
        <v>#N/A</v>
      </c>
      <c r="Z73" s="676" t="e">
        <f t="shared" si="26"/>
        <v>#N/A</v>
      </c>
      <c r="AA73" s="676" t="e">
        <f t="shared" si="26"/>
        <v>#N/A</v>
      </c>
      <c r="AB73" s="676" t="e">
        <f t="shared" si="26"/>
        <v>#N/A</v>
      </c>
      <c r="AC73" s="676" t="e">
        <f t="shared" si="26"/>
        <v>#N/A</v>
      </c>
      <c r="AD73" s="675" t="e">
        <f t="shared" si="26"/>
        <v>#N/A</v>
      </c>
      <c r="AE73" s="674" t="e">
        <f t="shared" si="26"/>
        <v>#N/A</v>
      </c>
    </row>
    <row r="74" spans="3:31" x14ac:dyDescent="0.3">
      <c r="C74" s="667" t="s">
        <v>873</v>
      </c>
      <c r="D74" s="666"/>
      <c r="E74" s="666"/>
      <c r="F74" s="666" t="e">
        <f>'Hipóteses xerais (2)'!$F$39</f>
        <v>#N/A</v>
      </c>
      <c r="G74" s="666" t="e">
        <f>'Hipóteses xerais (2)'!$F$39</f>
        <v>#N/A</v>
      </c>
      <c r="H74" s="666" t="e">
        <f>'Hipóteses xerais (2)'!$F$39</f>
        <v>#N/A</v>
      </c>
      <c r="I74" s="666" t="e">
        <f>'Hipóteses xerais (2)'!$F$39</f>
        <v>#N/A</v>
      </c>
      <c r="J74" s="666" t="e">
        <f>'Hipóteses xerais (2)'!$F$39</f>
        <v>#N/A</v>
      </c>
      <c r="K74" s="666" t="e">
        <f>'Hipóteses xerais (2)'!$F$39</f>
        <v>#N/A</v>
      </c>
      <c r="L74" s="666" t="e">
        <f>'Hipóteses xerais (2)'!$F$39</f>
        <v>#N/A</v>
      </c>
      <c r="M74" s="666" t="e">
        <f>'Hipóteses xerais (2)'!$F$39</f>
        <v>#N/A</v>
      </c>
      <c r="N74" s="666" t="e">
        <f>'Hipóteses xerais (2)'!$F$39</f>
        <v>#N/A</v>
      </c>
      <c r="O74" s="666" t="e">
        <f>'Hipóteses xerais (2)'!$F$39</f>
        <v>#N/A</v>
      </c>
      <c r="P74" s="666" t="e">
        <f>'Hipóteses xerais (2)'!$F$39</f>
        <v>#N/A</v>
      </c>
      <c r="Q74" s="666" t="e">
        <f>'Hipóteses xerais (2)'!$F$39</f>
        <v>#N/A</v>
      </c>
      <c r="R74" s="666" t="e">
        <f>'Hipóteses xerais (2)'!$F$39</f>
        <v>#N/A</v>
      </c>
      <c r="S74" s="666" t="e">
        <f>'Hipóteses xerais (2)'!$F$39</f>
        <v>#N/A</v>
      </c>
      <c r="T74" s="666" t="e">
        <f>'Hipóteses xerais (2)'!$F$39</f>
        <v>#N/A</v>
      </c>
      <c r="U74" s="666" t="e">
        <f>'Hipóteses xerais (2)'!$F$39</f>
        <v>#N/A</v>
      </c>
      <c r="V74" s="666" t="e">
        <f>'Hipóteses xerais (2)'!$F$39</f>
        <v>#N/A</v>
      </c>
      <c r="W74" s="666" t="e">
        <f>'Hipóteses xerais (2)'!$F$39</f>
        <v>#N/A</v>
      </c>
      <c r="X74" s="666" t="e">
        <f>'Hipóteses xerais (2)'!$F$39</f>
        <v>#N/A</v>
      </c>
      <c r="Y74" s="666" t="e">
        <f>'Hipóteses xerais (2)'!$F$39</f>
        <v>#N/A</v>
      </c>
      <c r="Z74" s="666" t="e">
        <f>'Hipóteses xerais (2)'!$F$39</f>
        <v>#N/A</v>
      </c>
      <c r="AA74" s="666" t="e">
        <f>'Hipóteses xerais (2)'!$F$39</f>
        <v>#N/A</v>
      </c>
      <c r="AB74" s="666" t="e">
        <f>'Hipóteses xerais (2)'!$F$39</f>
        <v>#N/A</v>
      </c>
      <c r="AC74" s="666" t="e">
        <f>'Hipóteses xerais (2)'!$F$39</f>
        <v>#N/A</v>
      </c>
      <c r="AD74" s="666" t="e">
        <f>'Hipóteses xerais (2)'!$F$39</f>
        <v>#N/A</v>
      </c>
      <c r="AE74" s="673" t="e">
        <f>'Hipóteses xerais (2)'!$F$39</f>
        <v>#N/A</v>
      </c>
    </row>
    <row r="75" spans="3:31" ht="15" thickBot="1" x14ac:dyDescent="0.35">
      <c r="C75" s="672" t="s">
        <v>872</v>
      </c>
      <c r="F75" s="145" t="e">
        <f t="shared" ref="F75:AE75" si="27">F73/F74</f>
        <v>#N/A</v>
      </c>
      <c r="G75" s="145" t="e">
        <f t="shared" si="27"/>
        <v>#N/A</v>
      </c>
      <c r="H75" s="145" t="e">
        <f t="shared" si="27"/>
        <v>#N/A</v>
      </c>
      <c r="I75" s="145" t="e">
        <f t="shared" si="27"/>
        <v>#N/A</v>
      </c>
      <c r="J75" s="145" t="e">
        <f t="shared" si="27"/>
        <v>#N/A</v>
      </c>
      <c r="K75" s="145" t="e">
        <f t="shared" si="27"/>
        <v>#N/A</v>
      </c>
      <c r="L75" s="145" t="e">
        <f t="shared" si="27"/>
        <v>#N/A</v>
      </c>
      <c r="M75" s="145" t="e">
        <f t="shared" si="27"/>
        <v>#N/A</v>
      </c>
      <c r="N75" s="145" t="e">
        <f t="shared" si="27"/>
        <v>#N/A</v>
      </c>
      <c r="O75" s="145" t="e">
        <f t="shared" si="27"/>
        <v>#N/A</v>
      </c>
      <c r="P75" s="145" t="e">
        <f t="shared" si="27"/>
        <v>#N/A</v>
      </c>
      <c r="Q75" s="145" t="e">
        <f t="shared" si="27"/>
        <v>#N/A</v>
      </c>
      <c r="R75" s="145" t="e">
        <f t="shared" si="27"/>
        <v>#N/A</v>
      </c>
      <c r="S75" s="145" t="e">
        <f t="shared" si="27"/>
        <v>#N/A</v>
      </c>
      <c r="T75" s="145" t="e">
        <f t="shared" si="27"/>
        <v>#N/A</v>
      </c>
      <c r="U75" s="145" t="e">
        <f t="shared" si="27"/>
        <v>#N/A</v>
      </c>
      <c r="V75" s="145" t="e">
        <f t="shared" si="27"/>
        <v>#N/A</v>
      </c>
      <c r="W75" s="145" t="e">
        <f t="shared" si="27"/>
        <v>#N/A</v>
      </c>
      <c r="X75" s="145" t="e">
        <f t="shared" si="27"/>
        <v>#N/A</v>
      </c>
      <c r="Y75" s="145" t="e">
        <f t="shared" si="27"/>
        <v>#N/A</v>
      </c>
      <c r="Z75" s="145" t="e">
        <f t="shared" si="27"/>
        <v>#N/A</v>
      </c>
      <c r="AA75" s="145" t="e">
        <f t="shared" si="27"/>
        <v>#N/A</v>
      </c>
      <c r="AB75" s="145" t="e">
        <f t="shared" si="27"/>
        <v>#N/A</v>
      </c>
      <c r="AC75" s="145" t="e">
        <f t="shared" si="27"/>
        <v>#N/A</v>
      </c>
      <c r="AD75" s="145" t="e">
        <f t="shared" si="27"/>
        <v>#N/A</v>
      </c>
      <c r="AE75" s="671" t="e">
        <f t="shared" si="27"/>
        <v>#N/A</v>
      </c>
    </row>
    <row r="76" spans="3:31" ht="15" thickBot="1" x14ac:dyDescent="0.35">
      <c r="C76" s="663" t="s">
        <v>871</v>
      </c>
      <c r="D76" s="662"/>
      <c r="E76" s="662"/>
      <c r="F76" s="670" t="e">
        <f t="shared" ref="F76:AE76" si="28">F75/12</f>
        <v>#N/A</v>
      </c>
      <c r="G76" s="670" t="e">
        <f t="shared" si="28"/>
        <v>#N/A</v>
      </c>
      <c r="H76" s="670" t="e">
        <f t="shared" si="28"/>
        <v>#N/A</v>
      </c>
      <c r="I76" s="670" t="e">
        <f t="shared" si="28"/>
        <v>#N/A</v>
      </c>
      <c r="J76" s="670" t="e">
        <f t="shared" si="28"/>
        <v>#N/A</v>
      </c>
      <c r="K76" s="670" t="e">
        <f t="shared" si="28"/>
        <v>#N/A</v>
      </c>
      <c r="L76" s="670" t="e">
        <f t="shared" si="28"/>
        <v>#N/A</v>
      </c>
      <c r="M76" s="670" t="e">
        <f t="shared" si="28"/>
        <v>#N/A</v>
      </c>
      <c r="N76" s="670" t="e">
        <f t="shared" si="28"/>
        <v>#N/A</v>
      </c>
      <c r="O76" s="670" t="e">
        <f t="shared" si="28"/>
        <v>#N/A</v>
      </c>
      <c r="P76" s="670" t="e">
        <f t="shared" si="28"/>
        <v>#N/A</v>
      </c>
      <c r="Q76" s="670" t="e">
        <f t="shared" si="28"/>
        <v>#N/A</v>
      </c>
      <c r="R76" s="670" t="e">
        <f t="shared" si="28"/>
        <v>#N/A</v>
      </c>
      <c r="S76" s="670" t="e">
        <f t="shared" si="28"/>
        <v>#N/A</v>
      </c>
      <c r="T76" s="670" t="e">
        <f t="shared" si="28"/>
        <v>#N/A</v>
      </c>
      <c r="U76" s="670" t="e">
        <f t="shared" si="28"/>
        <v>#N/A</v>
      </c>
      <c r="V76" s="670" t="e">
        <f t="shared" si="28"/>
        <v>#N/A</v>
      </c>
      <c r="W76" s="670" t="e">
        <f t="shared" si="28"/>
        <v>#N/A</v>
      </c>
      <c r="X76" s="670" t="e">
        <f t="shared" si="28"/>
        <v>#N/A</v>
      </c>
      <c r="Y76" s="670" t="e">
        <f t="shared" si="28"/>
        <v>#N/A</v>
      </c>
      <c r="Z76" s="670" t="e">
        <f t="shared" si="28"/>
        <v>#N/A</v>
      </c>
      <c r="AA76" s="670" t="e">
        <f t="shared" si="28"/>
        <v>#N/A</v>
      </c>
      <c r="AB76" s="670" t="e">
        <f t="shared" si="28"/>
        <v>#N/A</v>
      </c>
      <c r="AC76" s="670" t="e">
        <f t="shared" si="28"/>
        <v>#N/A</v>
      </c>
      <c r="AD76" s="669" t="e">
        <f t="shared" si="28"/>
        <v>#N/A</v>
      </c>
      <c r="AE76" s="668" t="e">
        <f t="shared" si="28"/>
        <v>#N/A</v>
      </c>
    </row>
    <row r="77" spans="3:31" x14ac:dyDescent="0.3">
      <c r="AE77" s="145" t="e">
        <f>AE76/'Hipóteses xerais (2)'!$C$11</f>
        <v>#N/A</v>
      </c>
    </row>
    <row r="78" spans="3:31" ht="15" thickBot="1" x14ac:dyDescent="0.35"/>
    <row r="79" spans="3:31" ht="15.6" thickTop="1" thickBot="1" x14ac:dyDescent="0.35">
      <c r="C79" s="667" t="s">
        <v>870</v>
      </c>
      <c r="D79" s="666"/>
      <c r="E79" s="666"/>
      <c r="F79" s="665" t="e">
        <f>MIN('Hipóteses xerais (2)'!$C$35*1000,'Hipóteses xerais (2)'!$C$70*'Hipóteses xerais (2)'!$I$52*'Hipóteses xerais (2)'!$I$53)</f>
        <v>#N/A</v>
      </c>
      <c r="G79" s="665" t="e">
        <f>MIN('Hipóteses xerais (2)'!$C$35*1000,'Hipóteses xerais (2)'!$C$70*'Hipóteses xerais (2)'!$I$52*'Hipóteses xerais (2)'!$I$53)</f>
        <v>#N/A</v>
      </c>
      <c r="H79" s="665" t="e">
        <f>MIN('Hipóteses xerais (2)'!$C$35*1000,'Hipóteses xerais (2)'!$C$70*'Hipóteses xerais (2)'!$I$52*'Hipóteses xerais (2)'!$I$53)</f>
        <v>#N/A</v>
      </c>
      <c r="I79" s="665" t="e">
        <f>MIN('Hipóteses xerais (2)'!$C$35*1000,'Hipóteses xerais (2)'!$C$70*'Hipóteses xerais (2)'!$I$52*'Hipóteses xerais (2)'!$I$53)</f>
        <v>#N/A</v>
      </c>
      <c r="J79" s="665" t="e">
        <f>MIN('Hipóteses xerais (2)'!$C$35*1000,'Hipóteses xerais (2)'!$C$70*'Hipóteses xerais (2)'!$I$52*'Hipóteses xerais (2)'!$I$53)</f>
        <v>#N/A</v>
      </c>
      <c r="K79" s="665" t="e">
        <f>MIN('Hipóteses xerais (2)'!$C$35*1000,'Hipóteses xerais (2)'!$C$70*'Hipóteses xerais (2)'!$I$52*'Hipóteses xerais (2)'!$I$53)</f>
        <v>#N/A</v>
      </c>
      <c r="L79" s="665" t="e">
        <f>MIN('Hipóteses xerais (2)'!$C$35*1000,'Hipóteses xerais (2)'!$C$70*'Hipóteses xerais (2)'!$I$52*'Hipóteses xerais (2)'!$I$53)</f>
        <v>#N/A</v>
      </c>
      <c r="M79" s="665" t="e">
        <f>MIN('Hipóteses xerais (2)'!$C$35*1000,'Hipóteses xerais (2)'!$C$70*'Hipóteses xerais (2)'!$I$52*'Hipóteses xerais (2)'!$I$53)</f>
        <v>#N/A</v>
      </c>
      <c r="N79" s="665" t="e">
        <f>MIN('Hipóteses xerais (2)'!$C$35*1000,'Hipóteses xerais (2)'!$C$70*'Hipóteses xerais (2)'!$I$52*'Hipóteses xerais (2)'!$I$53)</f>
        <v>#N/A</v>
      </c>
      <c r="O79" s="665" t="e">
        <f>MIN('Hipóteses xerais (2)'!$C$35*1000,'Hipóteses xerais (2)'!$C$70*'Hipóteses xerais (2)'!$I$52*'Hipóteses xerais (2)'!$I$53)</f>
        <v>#N/A</v>
      </c>
      <c r="P79" s="665" t="e">
        <f>MIN('Hipóteses xerais (2)'!$C$35*1000,'Hipóteses xerais (2)'!$C$70*'Hipóteses xerais (2)'!$I$52*'Hipóteses xerais (2)'!$I$53)</f>
        <v>#N/A</v>
      </c>
      <c r="Q79" s="665" t="e">
        <f>MIN('Hipóteses xerais (2)'!$C$35*1000,'Hipóteses xerais (2)'!$C$70*'Hipóteses xerais (2)'!$I$52*'Hipóteses xerais (2)'!$I$53)</f>
        <v>#N/A</v>
      </c>
      <c r="R79" s="665" t="e">
        <f>MIN('Hipóteses xerais (2)'!$C$35*1000,'Hipóteses xerais (2)'!$C$70*'Hipóteses xerais (2)'!$I$52*'Hipóteses xerais (2)'!$I$53)</f>
        <v>#N/A</v>
      </c>
      <c r="S79" s="665" t="e">
        <f>MIN('Hipóteses xerais (2)'!$C$35*1000,'Hipóteses xerais (2)'!$C$70*'Hipóteses xerais (2)'!$I$52*'Hipóteses xerais (2)'!$I$53)</f>
        <v>#N/A</v>
      </c>
      <c r="T79" s="665" t="e">
        <f>MIN('Hipóteses xerais (2)'!$C$35*1000,'Hipóteses xerais (2)'!$C$70*'Hipóteses xerais (2)'!$I$52*'Hipóteses xerais (2)'!$I$53)</f>
        <v>#N/A</v>
      </c>
      <c r="U79" s="665" t="e">
        <f>MIN('Hipóteses xerais (2)'!$C$35*1000,'Hipóteses xerais (2)'!$C$70*'Hipóteses xerais (2)'!$I$52*'Hipóteses xerais (2)'!$I$53)</f>
        <v>#N/A</v>
      </c>
      <c r="V79" s="665" t="e">
        <f>MIN('Hipóteses xerais (2)'!$C$35*1000,'Hipóteses xerais (2)'!$C$70*'Hipóteses xerais (2)'!$I$52*'Hipóteses xerais (2)'!$I$53)</f>
        <v>#N/A</v>
      </c>
      <c r="W79" s="665" t="e">
        <f>MIN('Hipóteses xerais (2)'!$C$35*1000,'Hipóteses xerais (2)'!$C$70*'Hipóteses xerais (2)'!$I$52*'Hipóteses xerais (2)'!$I$53)</f>
        <v>#N/A</v>
      </c>
      <c r="X79" s="665" t="e">
        <f>MIN('Hipóteses xerais (2)'!$C$35*1000,'Hipóteses xerais (2)'!$C$70*'Hipóteses xerais (2)'!$I$52*'Hipóteses xerais (2)'!$I$53)</f>
        <v>#N/A</v>
      </c>
      <c r="Y79" s="665" t="e">
        <f>MIN('Hipóteses xerais (2)'!$C$35*1000,'Hipóteses xerais (2)'!$C$70*'Hipóteses xerais (2)'!$I$52*'Hipóteses xerais (2)'!$I$53)</f>
        <v>#N/A</v>
      </c>
      <c r="Z79" s="665" t="e">
        <f>MIN('Hipóteses xerais (2)'!$C$35*1000,'Hipóteses xerais (2)'!$C$70*'Hipóteses xerais (2)'!$I$52*'Hipóteses xerais (2)'!$I$53)</f>
        <v>#N/A</v>
      </c>
      <c r="AA79" s="665" t="e">
        <f>MIN('Hipóteses xerais (2)'!$C$35*1000,'Hipóteses xerais (2)'!$C$70*'Hipóteses xerais (2)'!$I$52*'Hipóteses xerais (2)'!$I$53)</f>
        <v>#N/A</v>
      </c>
      <c r="AB79" s="665" t="e">
        <f>MIN('Hipóteses xerais (2)'!$C$35*1000,'Hipóteses xerais (2)'!$C$70*'Hipóteses xerais (2)'!$I$52*'Hipóteses xerais (2)'!$I$53)</f>
        <v>#N/A</v>
      </c>
      <c r="AC79" s="665" t="e">
        <f>MIN('Hipóteses xerais (2)'!$C$35*1000,'Hipóteses xerais (2)'!$C$70*'Hipóteses xerais (2)'!$I$52*'Hipóteses xerais (2)'!$I$53)</f>
        <v>#N/A</v>
      </c>
      <c r="AD79" s="665" t="e">
        <f>MIN('Hipóteses xerais (2)'!$C$35*1000,'Hipóteses xerais (2)'!$C$70*'Hipóteses xerais (2)'!$I$52*'Hipóteses xerais (2)'!$I$53)</f>
        <v>#N/A</v>
      </c>
      <c r="AE79" s="664" t="e">
        <f>SUM(F79:AD79)</f>
        <v>#N/A</v>
      </c>
    </row>
    <row r="80" spans="3:31" ht="15" thickBot="1" x14ac:dyDescent="0.35">
      <c r="C80" s="663" t="s">
        <v>869</v>
      </c>
      <c r="D80" s="662"/>
      <c r="E80" s="662"/>
      <c r="F80" s="661" t="e">
        <f t="shared" ref="F80:AE80" si="29">F73/F79</f>
        <v>#N/A</v>
      </c>
      <c r="G80" s="661" t="e">
        <f t="shared" si="29"/>
        <v>#N/A</v>
      </c>
      <c r="H80" s="661" t="e">
        <f t="shared" si="29"/>
        <v>#N/A</v>
      </c>
      <c r="I80" s="661" t="e">
        <f t="shared" si="29"/>
        <v>#N/A</v>
      </c>
      <c r="J80" s="661" t="e">
        <f t="shared" si="29"/>
        <v>#N/A</v>
      </c>
      <c r="K80" s="661" t="e">
        <f t="shared" si="29"/>
        <v>#N/A</v>
      </c>
      <c r="L80" s="661" t="e">
        <f t="shared" si="29"/>
        <v>#N/A</v>
      </c>
      <c r="M80" s="661" t="e">
        <f t="shared" si="29"/>
        <v>#N/A</v>
      </c>
      <c r="N80" s="661" t="e">
        <f t="shared" si="29"/>
        <v>#N/A</v>
      </c>
      <c r="O80" s="661" t="e">
        <f t="shared" si="29"/>
        <v>#N/A</v>
      </c>
      <c r="P80" s="661" t="e">
        <f t="shared" si="29"/>
        <v>#N/A</v>
      </c>
      <c r="Q80" s="661" t="e">
        <f t="shared" si="29"/>
        <v>#N/A</v>
      </c>
      <c r="R80" s="661" t="e">
        <f t="shared" si="29"/>
        <v>#N/A</v>
      </c>
      <c r="S80" s="661" t="e">
        <f t="shared" si="29"/>
        <v>#N/A</v>
      </c>
      <c r="T80" s="661" t="e">
        <f t="shared" si="29"/>
        <v>#N/A</v>
      </c>
      <c r="U80" s="661" t="e">
        <f t="shared" si="29"/>
        <v>#N/A</v>
      </c>
      <c r="V80" s="661" t="e">
        <f t="shared" si="29"/>
        <v>#N/A</v>
      </c>
      <c r="W80" s="661" t="e">
        <f t="shared" si="29"/>
        <v>#N/A</v>
      </c>
      <c r="X80" s="661" t="e">
        <f t="shared" si="29"/>
        <v>#N/A</v>
      </c>
      <c r="Y80" s="661" t="e">
        <f t="shared" si="29"/>
        <v>#N/A</v>
      </c>
      <c r="Z80" s="661" t="e">
        <f t="shared" si="29"/>
        <v>#N/A</v>
      </c>
      <c r="AA80" s="661" t="e">
        <f t="shared" si="29"/>
        <v>#N/A</v>
      </c>
      <c r="AB80" s="661" t="e">
        <f t="shared" si="29"/>
        <v>#N/A</v>
      </c>
      <c r="AC80" s="661" t="e">
        <f t="shared" si="29"/>
        <v>#N/A</v>
      </c>
      <c r="AD80" s="660" t="e">
        <f t="shared" si="29"/>
        <v>#N/A</v>
      </c>
      <c r="AE80" s="659" t="e">
        <f t="shared" si="29"/>
        <v>#N/A</v>
      </c>
    </row>
    <row r="81" spans="3:31" ht="15" thickBot="1" x14ac:dyDescent="0.35"/>
    <row r="82" spans="3:31" ht="15" thickBot="1" x14ac:dyDescent="0.35">
      <c r="C82" s="624" t="s">
        <v>868</v>
      </c>
      <c r="D82" s="623" t="s">
        <v>851</v>
      </c>
      <c r="E82" s="622" t="s">
        <v>850</v>
      </c>
    </row>
    <row r="83" spans="3:31" ht="29.4" thickBot="1" x14ac:dyDescent="0.35">
      <c r="C83" s="621" t="s">
        <v>867</v>
      </c>
      <c r="D83" s="620" t="e">
        <f>($F$80*'Hipóteses xerais (2)'!$I$52*'Hipóteses xerais (2)'!$C$70)/12</f>
        <v>#N/A</v>
      </c>
      <c r="E83" s="619" t="e">
        <f>($F$80*'Hipóteses xerais (2)'!$I$52*'Hipóteses xerais (2)'!$C$70)</f>
        <v>#N/A</v>
      </c>
      <c r="F83" s="6"/>
      <c r="G83" s="6"/>
    </row>
    <row r="84" spans="3:31" ht="15" thickBot="1" x14ac:dyDescent="0.35"/>
    <row r="85" spans="3:31" ht="15.6" thickTop="1" thickBot="1" x14ac:dyDescent="0.35">
      <c r="D85" s="658" t="s">
        <v>866</v>
      </c>
      <c r="E85" s="657"/>
      <c r="F85" s="656" t="e">
        <f>F9+(IF('Hipóteses xerais (2)'!$C$94="Si",('Hipóteses xerais (2)'!$C$89/'Hipóteses xerais (2)'!$C$11),0))</f>
        <v>#N/A</v>
      </c>
      <c r="G85" s="656" t="e">
        <f>G9+(IF('Hipóteses xerais (2)'!$C$94="Si",('Hipóteses xerais (2)'!$C$89/'Hipóteses xerais (2)'!$C$11),0))</f>
        <v>#N/A</v>
      </c>
      <c r="H85" s="656" t="e">
        <f>H9+(IF('Hipóteses xerais (2)'!$C$94="Si",('Hipóteses xerais (2)'!$C$89/'Hipóteses xerais (2)'!$C$11),0))</f>
        <v>#N/A</v>
      </c>
      <c r="I85" s="656" t="e">
        <f>I9+(IF('Hipóteses xerais (2)'!$C$94="Si",('Hipóteses xerais (2)'!$C$89/'Hipóteses xerais (2)'!$C$11),0))</f>
        <v>#N/A</v>
      </c>
      <c r="J85" s="656" t="e">
        <f>J9+(IF('Hipóteses xerais (2)'!$C$94="Si",('Hipóteses xerais (2)'!$C$89/'Hipóteses xerais (2)'!$C$11),0))</f>
        <v>#N/A</v>
      </c>
      <c r="K85" s="656" t="e">
        <f>K9+(IF('Hipóteses xerais (2)'!$C$94="Si",('Hipóteses xerais (2)'!$C$89/'Hipóteses xerais (2)'!$C$11),0))</f>
        <v>#N/A</v>
      </c>
      <c r="L85" s="656" t="e">
        <f>L9+(IF('Hipóteses xerais (2)'!$C$94="Si",('Hipóteses xerais (2)'!$C$89/'Hipóteses xerais (2)'!$C$11),0))</f>
        <v>#N/A</v>
      </c>
      <c r="M85" s="656" t="e">
        <f>M9+(IF('Hipóteses xerais (2)'!$C$94="Si",('Hipóteses xerais (2)'!$C$89/'Hipóteses xerais (2)'!$C$11),0))</f>
        <v>#N/A</v>
      </c>
      <c r="N85" s="656" t="e">
        <f>N9+(IF('Hipóteses xerais (2)'!$C$94="Si",('Hipóteses xerais (2)'!$C$89/'Hipóteses xerais (2)'!$C$11),0))</f>
        <v>#N/A</v>
      </c>
      <c r="O85" s="656" t="e">
        <f>O9+(IF('Hipóteses xerais (2)'!$C$94="Si",('Hipóteses xerais (2)'!$C$89/'Hipóteses xerais (2)'!$C$11),0))</f>
        <v>#N/A</v>
      </c>
      <c r="P85" s="656" t="e">
        <f>P9+(IF('Hipóteses xerais (2)'!$C$94="Si",('Hipóteses xerais (2)'!$C$89/'Hipóteses xerais (2)'!$C$11),0))</f>
        <v>#N/A</v>
      </c>
      <c r="Q85" s="656" t="e">
        <f>Q9+(IF('Hipóteses xerais (2)'!$C$94="Si",('Hipóteses xerais (2)'!$C$89/'Hipóteses xerais (2)'!$C$11),0))</f>
        <v>#N/A</v>
      </c>
      <c r="R85" s="656" t="e">
        <f>R9+(IF('Hipóteses xerais (2)'!$C$94="Si",('Hipóteses xerais (2)'!$C$89/'Hipóteses xerais (2)'!$C$11),0))</f>
        <v>#N/A</v>
      </c>
      <c r="S85" s="656" t="e">
        <f>S9+(IF('Hipóteses xerais (2)'!$C$94="Si",('Hipóteses xerais (2)'!$C$89/'Hipóteses xerais (2)'!$C$11),0))</f>
        <v>#N/A</v>
      </c>
      <c r="T85" s="656" t="e">
        <f>T9+(IF('Hipóteses xerais (2)'!$C$94="Si",('Hipóteses xerais (2)'!$C$89/'Hipóteses xerais (2)'!$C$11),0))</f>
        <v>#N/A</v>
      </c>
      <c r="U85" s="656" t="e">
        <f>U9+(IF('Hipóteses xerais (2)'!$C$94="Si",('Hipóteses xerais (2)'!$C$89/'Hipóteses xerais (2)'!$C$11),0))</f>
        <v>#N/A</v>
      </c>
      <c r="V85" s="656" t="e">
        <f>V9+(IF('Hipóteses xerais (2)'!$C$94="Si",('Hipóteses xerais (2)'!$C$89/'Hipóteses xerais (2)'!$C$11),0))</f>
        <v>#N/A</v>
      </c>
      <c r="W85" s="656" t="e">
        <f>W9+(IF('Hipóteses xerais (2)'!$C$94="Si",('Hipóteses xerais (2)'!$C$89/'Hipóteses xerais (2)'!$C$11),0))</f>
        <v>#N/A</v>
      </c>
      <c r="X85" s="656" t="e">
        <f>X9+(IF('Hipóteses xerais (2)'!$C$94="Si",('Hipóteses xerais (2)'!$C$89/'Hipóteses xerais (2)'!$C$11),0))</f>
        <v>#N/A</v>
      </c>
      <c r="Y85" s="656" t="e">
        <f>Y9+(IF('Hipóteses xerais (2)'!$C$94="Si",('Hipóteses xerais (2)'!$C$89/'Hipóteses xerais (2)'!$C$11),0))</f>
        <v>#N/A</v>
      </c>
      <c r="Z85" s="656" t="e">
        <f>Z9+(IF('Hipóteses xerais (2)'!$C$94="Si",('Hipóteses xerais (2)'!$C$89/'Hipóteses xerais (2)'!$C$11),0))</f>
        <v>#N/A</v>
      </c>
      <c r="AA85" s="656" t="e">
        <f>AA9+(IF('Hipóteses xerais (2)'!$C$94="Si",('Hipóteses xerais (2)'!$C$89/'Hipóteses xerais (2)'!$C$11),0))</f>
        <v>#N/A</v>
      </c>
      <c r="AB85" s="656" t="e">
        <f>AB9+(IF('Hipóteses xerais (2)'!$C$94="Si",('Hipóteses xerais (2)'!$C$89/'Hipóteses xerais (2)'!$C$11),0))</f>
        <v>#N/A</v>
      </c>
      <c r="AC85" s="656" t="e">
        <f>AC9+(IF('Hipóteses xerais (2)'!$C$94="Si",('Hipóteses xerais (2)'!$C$89/'Hipóteses xerais (2)'!$C$11),0))</f>
        <v>#N/A</v>
      </c>
      <c r="AD85" s="655" t="e">
        <f>AD9+(IF('Hipóteses xerais (2)'!$C$94="Si",('Hipóteses xerais (2)'!$C$89/'Hipóteses xerais (2)'!$C$11),0))</f>
        <v>#N/A</v>
      </c>
      <c r="AE85" s="654" t="e">
        <f>SUM(F85:AD85)</f>
        <v>#N/A</v>
      </c>
    </row>
    <row r="86" spans="3:31" ht="15" thickBot="1" x14ac:dyDescent="0.35">
      <c r="C86" s="653" t="s">
        <v>865</v>
      </c>
      <c r="D86" s="652" t="s">
        <v>864</v>
      </c>
      <c r="E86" s="651"/>
      <c r="F86" s="650" t="e">
        <f>'Hipóteses xerais (2)'!$C$16*'Conta explotación'!F85</f>
        <v>#N/A</v>
      </c>
      <c r="G86" s="650" t="e">
        <f>'Hipóteses xerais (2)'!$C$16*'Conta explotación'!G85</f>
        <v>#N/A</v>
      </c>
      <c r="H86" s="650" t="e">
        <f>'Hipóteses xerais (2)'!$C$16*'Conta explotación'!H85</f>
        <v>#N/A</v>
      </c>
      <c r="I86" s="650" t="e">
        <f>'Hipóteses xerais (2)'!$C$16*'Conta explotación'!I85</f>
        <v>#N/A</v>
      </c>
      <c r="J86" s="650" t="e">
        <f>'Hipóteses xerais (2)'!$C$16*'Conta explotación'!J85</f>
        <v>#N/A</v>
      </c>
      <c r="K86" s="650" t="e">
        <f>'Hipóteses xerais (2)'!$C$16*'Conta explotación'!K85</f>
        <v>#N/A</v>
      </c>
      <c r="L86" s="650" t="e">
        <f>'Hipóteses xerais (2)'!$C$16*'Conta explotación'!L85</f>
        <v>#N/A</v>
      </c>
      <c r="M86" s="650" t="e">
        <f>'Hipóteses xerais (2)'!$C$16*'Conta explotación'!M85</f>
        <v>#N/A</v>
      </c>
      <c r="N86" s="650" t="e">
        <f>'Hipóteses xerais (2)'!$C$16*'Conta explotación'!N85</f>
        <v>#N/A</v>
      </c>
      <c r="O86" s="650" t="e">
        <f>'Hipóteses xerais (2)'!$C$16*'Conta explotación'!O85</f>
        <v>#N/A</v>
      </c>
      <c r="P86" s="650" t="e">
        <f>'Hipóteses xerais (2)'!$C$16*'Conta explotación'!P85</f>
        <v>#N/A</v>
      </c>
      <c r="Q86" s="650" t="e">
        <f>'Hipóteses xerais (2)'!$C$16*'Conta explotación'!Q85</f>
        <v>#N/A</v>
      </c>
      <c r="R86" s="650" t="e">
        <f>'Hipóteses xerais (2)'!$C$16*'Conta explotación'!R85</f>
        <v>#N/A</v>
      </c>
      <c r="S86" s="650" t="e">
        <f>'Hipóteses xerais (2)'!$C$16*'Conta explotación'!S85</f>
        <v>#N/A</v>
      </c>
      <c r="T86" s="650" t="e">
        <f>'Hipóteses xerais (2)'!$C$16*'Conta explotación'!T85</f>
        <v>#N/A</v>
      </c>
      <c r="U86" s="650" t="e">
        <f>'Hipóteses xerais (2)'!$C$16*'Conta explotación'!U85</f>
        <v>#N/A</v>
      </c>
      <c r="V86" s="650" t="e">
        <f>'Hipóteses xerais (2)'!$C$16*'Conta explotación'!V85</f>
        <v>#N/A</v>
      </c>
      <c r="W86" s="650" t="e">
        <f>'Hipóteses xerais (2)'!$C$16*'Conta explotación'!W85</f>
        <v>#N/A</v>
      </c>
      <c r="X86" s="650" t="e">
        <f>'Hipóteses xerais (2)'!$C$16*'Conta explotación'!X85</f>
        <v>#N/A</v>
      </c>
      <c r="Y86" s="650" t="e">
        <f>'Hipóteses xerais (2)'!$C$16*'Conta explotación'!Y85</f>
        <v>#N/A</v>
      </c>
      <c r="Z86" s="650" t="e">
        <f>'Hipóteses xerais (2)'!$C$16*'Conta explotación'!Z85</f>
        <v>#N/A</v>
      </c>
      <c r="AA86" s="650" t="e">
        <f>'Hipóteses xerais (2)'!$C$16*'Conta explotación'!AA85</f>
        <v>#N/A</v>
      </c>
      <c r="AB86" s="650" t="e">
        <f>'Hipóteses xerais (2)'!$C$16*'Conta explotación'!AB85</f>
        <v>#N/A</v>
      </c>
      <c r="AC86" s="650" t="e">
        <f>'Hipóteses xerais (2)'!$C$16*'Conta explotación'!AC85</f>
        <v>#N/A</v>
      </c>
      <c r="AD86" s="649" t="e">
        <f>'Hipóteses xerais (2)'!$C$16*'Conta explotación'!AD85</f>
        <v>#N/A</v>
      </c>
      <c r="AE86" s="648" t="e">
        <f>SUM(F86:AD86)</f>
        <v>#N/A</v>
      </c>
    </row>
    <row r="87" spans="3:31" ht="62.55" customHeight="1" thickTop="1" x14ac:dyDescent="0.3">
      <c r="C87" s="647" t="s">
        <v>863</v>
      </c>
      <c r="D87" s="641" t="s">
        <v>862</v>
      </c>
      <c r="F87" s="644" t="e">
        <f>F86/'Hipóteses xerais (2)'!$F$39</f>
        <v>#N/A</v>
      </c>
      <c r="G87" s="644" t="e">
        <f>G86/'Hipóteses xerais (2)'!$F$39</f>
        <v>#N/A</v>
      </c>
      <c r="H87" s="644" t="e">
        <f>H86/'Hipóteses xerais (2)'!$F$39</f>
        <v>#N/A</v>
      </c>
      <c r="I87" s="644" t="e">
        <f>I86/'Hipóteses xerais (2)'!$F$39</f>
        <v>#N/A</v>
      </c>
      <c r="J87" s="644" t="e">
        <f>J86/'Hipóteses xerais (2)'!$F$39</f>
        <v>#N/A</v>
      </c>
      <c r="K87" s="644" t="e">
        <f>K86/'Hipóteses xerais (2)'!$F$39</f>
        <v>#N/A</v>
      </c>
      <c r="L87" s="644" t="e">
        <f>L86/'Hipóteses xerais (2)'!$F$39</f>
        <v>#N/A</v>
      </c>
      <c r="M87" s="644" t="e">
        <f>M86/'Hipóteses xerais (2)'!$F$39</f>
        <v>#N/A</v>
      </c>
      <c r="N87" s="644" t="e">
        <f>N86/'Hipóteses xerais (2)'!$F$39</f>
        <v>#N/A</v>
      </c>
      <c r="O87" s="644" t="e">
        <f>O86/'Hipóteses xerais (2)'!$F$39</f>
        <v>#N/A</v>
      </c>
      <c r="P87" s="644" t="e">
        <f>P86/'Hipóteses xerais (2)'!$F$39</f>
        <v>#N/A</v>
      </c>
      <c r="Q87" s="644" t="e">
        <f>Q86/'Hipóteses xerais (2)'!$F$39</f>
        <v>#N/A</v>
      </c>
      <c r="R87" s="644" t="e">
        <f>R86/'Hipóteses xerais (2)'!$F$39</f>
        <v>#N/A</v>
      </c>
      <c r="S87" s="644" t="e">
        <f>S86/'Hipóteses xerais (2)'!$F$39</f>
        <v>#N/A</v>
      </c>
      <c r="T87" s="644" t="e">
        <f>T86/'Hipóteses xerais (2)'!$F$39</f>
        <v>#N/A</v>
      </c>
      <c r="U87" s="644" t="e">
        <f>U86/'Hipóteses xerais (2)'!$F$39</f>
        <v>#N/A</v>
      </c>
      <c r="V87" s="644" t="e">
        <f>V86/'Hipóteses xerais (2)'!$F$39</f>
        <v>#N/A</v>
      </c>
      <c r="W87" s="644" t="e">
        <f>W86/'Hipóteses xerais (2)'!$F$39</f>
        <v>#N/A</v>
      </c>
      <c r="X87" s="644" t="e">
        <f>X86/'Hipóteses xerais (2)'!$F$39</f>
        <v>#N/A</v>
      </c>
      <c r="Y87" s="644" t="e">
        <f>Y86/'Hipóteses xerais (2)'!$F$39</f>
        <v>#N/A</v>
      </c>
      <c r="Z87" s="644" t="e">
        <f>Z86/'Hipóteses xerais (2)'!$F$39</f>
        <v>#N/A</v>
      </c>
      <c r="AA87" s="644" t="e">
        <f>AA86/'Hipóteses xerais (2)'!$F$39</f>
        <v>#N/A</v>
      </c>
      <c r="AB87" s="644" t="e">
        <f>AB86/'Hipóteses xerais (2)'!$F$39</f>
        <v>#N/A</v>
      </c>
      <c r="AC87" s="644" t="e">
        <f>AC86/'Hipóteses xerais (2)'!$F$39</f>
        <v>#N/A</v>
      </c>
      <c r="AD87" s="644" t="e">
        <f>AD86/'Hipóteses xerais (2)'!$F$39</f>
        <v>#N/A</v>
      </c>
      <c r="AE87" s="646" t="e">
        <f>SUM(F87:AD87)</f>
        <v>#N/A</v>
      </c>
    </row>
    <row r="88" spans="3:31" ht="58.2" thickBot="1" x14ac:dyDescent="0.35">
      <c r="C88" s="645" t="s">
        <v>861</v>
      </c>
      <c r="D88" s="32" t="s">
        <v>860</v>
      </c>
      <c r="F88" s="644" t="e">
        <f t="shared" ref="F88:AD88" si="30">F87/12</f>
        <v>#N/A</v>
      </c>
      <c r="G88" s="644" t="e">
        <f t="shared" si="30"/>
        <v>#N/A</v>
      </c>
      <c r="H88" s="644" t="e">
        <f t="shared" si="30"/>
        <v>#N/A</v>
      </c>
      <c r="I88" s="644" t="e">
        <f t="shared" si="30"/>
        <v>#N/A</v>
      </c>
      <c r="J88" s="644" t="e">
        <f t="shared" si="30"/>
        <v>#N/A</v>
      </c>
      <c r="K88" s="644" t="e">
        <f t="shared" si="30"/>
        <v>#N/A</v>
      </c>
      <c r="L88" s="644" t="e">
        <f t="shared" si="30"/>
        <v>#N/A</v>
      </c>
      <c r="M88" s="644" t="e">
        <f t="shared" si="30"/>
        <v>#N/A</v>
      </c>
      <c r="N88" s="644" t="e">
        <f t="shared" si="30"/>
        <v>#N/A</v>
      </c>
      <c r="O88" s="644" t="e">
        <f t="shared" si="30"/>
        <v>#N/A</v>
      </c>
      <c r="P88" s="644" t="e">
        <f t="shared" si="30"/>
        <v>#N/A</v>
      </c>
      <c r="Q88" s="644" t="e">
        <f t="shared" si="30"/>
        <v>#N/A</v>
      </c>
      <c r="R88" s="644" t="e">
        <f t="shared" si="30"/>
        <v>#N/A</v>
      </c>
      <c r="S88" s="644" t="e">
        <f t="shared" si="30"/>
        <v>#N/A</v>
      </c>
      <c r="T88" s="644" t="e">
        <f t="shared" si="30"/>
        <v>#N/A</v>
      </c>
      <c r="U88" s="644" t="e">
        <f t="shared" si="30"/>
        <v>#N/A</v>
      </c>
      <c r="V88" s="644" t="e">
        <f t="shared" si="30"/>
        <v>#N/A</v>
      </c>
      <c r="W88" s="644" t="e">
        <f t="shared" si="30"/>
        <v>#N/A</v>
      </c>
      <c r="X88" s="644" t="e">
        <f t="shared" si="30"/>
        <v>#N/A</v>
      </c>
      <c r="Y88" s="644" t="e">
        <f t="shared" si="30"/>
        <v>#N/A</v>
      </c>
      <c r="Z88" s="644" t="e">
        <f t="shared" si="30"/>
        <v>#N/A</v>
      </c>
      <c r="AA88" s="644" t="e">
        <f t="shared" si="30"/>
        <v>#N/A</v>
      </c>
      <c r="AB88" s="644" t="e">
        <f t="shared" si="30"/>
        <v>#N/A</v>
      </c>
      <c r="AC88" s="644" t="e">
        <f t="shared" si="30"/>
        <v>#N/A</v>
      </c>
      <c r="AD88" s="644" t="e">
        <f t="shared" si="30"/>
        <v>#N/A</v>
      </c>
      <c r="AE88" s="643" t="e">
        <f>AE87/('Hipóteses xerais (2)'!$F$39*12)</f>
        <v>#N/A</v>
      </c>
    </row>
    <row r="89" spans="3:31" ht="55.05" customHeight="1" x14ac:dyDescent="0.3">
      <c r="C89" s="642" t="s">
        <v>859</v>
      </c>
      <c r="D89" s="641" t="s">
        <v>858</v>
      </c>
      <c r="F89" s="145" t="e">
        <f t="shared" ref="F89:AD89" si="31">F86/(F79*1000)</f>
        <v>#N/A</v>
      </c>
      <c r="G89" s="145" t="e">
        <f t="shared" si="31"/>
        <v>#N/A</v>
      </c>
      <c r="H89" s="145" t="e">
        <f t="shared" si="31"/>
        <v>#N/A</v>
      </c>
      <c r="I89" s="145" t="e">
        <f t="shared" si="31"/>
        <v>#N/A</v>
      </c>
      <c r="J89" s="145" t="e">
        <f t="shared" si="31"/>
        <v>#N/A</v>
      </c>
      <c r="K89" s="145" t="e">
        <f t="shared" si="31"/>
        <v>#N/A</v>
      </c>
      <c r="L89" s="145" t="e">
        <f t="shared" si="31"/>
        <v>#N/A</v>
      </c>
      <c r="M89" s="145" t="e">
        <f t="shared" si="31"/>
        <v>#N/A</v>
      </c>
      <c r="N89" s="145" t="e">
        <f t="shared" si="31"/>
        <v>#N/A</v>
      </c>
      <c r="O89" s="145" t="e">
        <f t="shared" si="31"/>
        <v>#N/A</v>
      </c>
      <c r="P89" s="145" t="e">
        <f t="shared" si="31"/>
        <v>#N/A</v>
      </c>
      <c r="Q89" s="145" t="e">
        <f t="shared" si="31"/>
        <v>#N/A</v>
      </c>
      <c r="R89" s="145" t="e">
        <f t="shared" si="31"/>
        <v>#N/A</v>
      </c>
      <c r="S89" s="145" t="e">
        <f t="shared" si="31"/>
        <v>#N/A</v>
      </c>
      <c r="T89" s="145" t="e">
        <f t="shared" si="31"/>
        <v>#N/A</v>
      </c>
      <c r="U89" s="145" t="e">
        <f t="shared" si="31"/>
        <v>#N/A</v>
      </c>
      <c r="V89" s="145" t="e">
        <f t="shared" si="31"/>
        <v>#N/A</v>
      </c>
      <c r="W89" s="145" t="e">
        <f t="shared" si="31"/>
        <v>#N/A</v>
      </c>
      <c r="X89" s="145" t="e">
        <f t="shared" si="31"/>
        <v>#N/A</v>
      </c>
      <c r="Y89" s="145" t="e">
        <f t="shared" si="31"/>
        <v>#N/A</v>
      </c>
      <c r="Z89" s="145" t="e">
        <f t="shared" si="31"/>
        <v>#N/A</v>
      </c>
      <c r="AA89" s="145" t="e">
        <f t="shared" si="31"/>
        <v>#N/A</v>
      </c>
      <c r="AB89" s="145" t="e">
        <f t="shared" si="31"/>
        <v>#N/A</v>
      </c>
      <c r="AC89" s="145" t="e">
        <f t="shared" si="31"/>
        <v>#N/A</v>
      </c>
      <c r="AD89" s="145" t="e">
        <f t="shared" si="31"/>
        <v>#N/A</v>
      </c>
      <c r="AE89" s="145" t="e">
        <f>SUM(F89:AD89)</f>
        <v>#N/A</v>
      </c>
    </row>
    <row r="90" spans="3:31" ht="15" thickBot="1" x14ac:dyDescent="0.35">
      <c r="C90" s="640"/>
    </row>
    <row r="91" spans="3:31" ht="15" thickBot="1" x14ac:dyDescent="0.35">
      <c r="C91" s="639" t="s">
        <v>857</v>
      </c>
      <c r="D91" s="638" t="s">
        <v>856</v>
      </c>
      <c r="E91" s="637"/>
      <c r="F91" s="637"/>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6"/>
    </row>
    <row r="92" spans="3:31" ht="58.8" thickTop="1" thickBot="1" x14ac:dyDescent="0.35">
      <c r="C92" s="635" t="s">
        <v>855</v>
      </c>
      <c r="D92" s="634" t="s">
        <v>854</v>
      </c>
      <c r="E92" s="633"/>
      <c r="F92" s="632" t="e">
        <f>F75+(F87*(1+'Hipóteses xerais (2)'!$C$16))</f>
        <v>#N/A</v>
      </c>
      <c r="G92" s="632" t="e">
        <f>G75+(G87*(1+'Hipóteses xerais (2)'!$C$16))</f>
        <v>#N/A</v>
      </c>
      <c r="H92" s="632" t="e">
        <f>H75+(H87*(1+'Hipóteses xerais (2)'!$C$16))</f>
        <v>#N/A</v>
      </c>
      <c r="I92" s="632" t="e">
        <f>I75+(I87*(1+'Hipóteses xerais (2)'!$C$16))</f>
        <v>#N/A</v>
      </c>
      <c r="J92" s="632" t="e">
        <f>J75+(J87*(1+'Hipóteses xerais (2)'!$C$16))</f>
        <v>#N/A</v>
      </c>
      <c r="K92" s="632" t="e">
        <f>K75+(K87*(1+'Hipóteses xerais (2)'!$C$16))</f>
        <v>#N/A</v>
      </c>
      <c r="L92" s="632" t="e">
        <f>L75+(L87*(1+'Hipóteses xerais (2)'!$C$16))</f>
        <v>#N/A</v>
      </c>
      <c r="M92" s="632" t="e">
        <f>M75+(M87*(1+'Hipóteses xerais (2)'!$C$16))</f>
        <v>#N/A</v>
      </c>
      <c r="N92" s="632" t="e">
        <f>N75+(N87*(1+'Hipóteses xerais (2)'!$C$16))</f>
        <v>#N/A</v>
      </c>
      <c r="O92" s="632" t="e">
        <f>O75+(O87*(1+'Hipóteses xerais (2)'!$C$16))</f>
        <v>#N/A</v>
      </c>
      <c r="P92" s="632" t="e">
        <f>P75+(P87*(1+'Hipóteses xerais (2)'!$C$16))</f>
        <v>#N/A</v>
      </c>
      <c r="Q92" s="632" t="e">
        <f>Q75+(Q87*(1+'Hipóteses xerais (2)'!$C$16))</f>
        <v>#N/A</v>
      </c>
      <c r="R92" s="632" t="e">
        <f>R75+(R87*(1+'Hipóteses xerais (2)'!$C$16))</f>
        <v>#N/A</v>
      </c>
      <c r="S92" s="632" t="e">
        <f>S75+(S87*(1+'Hipóteses xerais (2)'!$C$16))</f>
        <v>#N/A</v>
      </c>
      <c r="T92" s="632" t="e">
        <f>T75+(T87*(1+'Hipóteses xerais (2)'!$C$16))</f>
        <v>#N/A</v>
      </c>
      <c r="U92" s="632" t="e">
        <f>U75+(U87*(1+'Hipóteses xerais (2)'!$C$16))</f>
        <v>#N/A</v>
      </c>
      <c r="V92" s="632" t="e">
        <f>V75+(V87*(1+'Hipóteses xerais (2)'!$C$16))</f>
        <v>#N/A</v>
      </c>
      <c r="W92" s="632" t="e">
        <f>W75+(W87*(1+'Hipóteses xerais (2)'!$C$16))</f>
        <v>#N/A</v>
      </c>
      <c r="X92" s="632" t="e">
        <f>X75+(X87*(1+'Hipóteses xerais (2)'!$C$16))</f>
        <v>#N/A</v>
      </c>
      <c r="Y92" s="632" t="e">
        <f>Y75+(Y87*(1+'Hipóteses xerais (2)'!$C$16))</f>
        <v>#N/A</v>
      </c>
      <c r="Z92" s="632" t="e">
        <f>Z75+(Z87*(1+'Hipóteses xerais (2)'!$C$16))</f>
        <v>#N/A</v>
      </c>
      <c r="AA92" s="632" t="e">
        <f>AA75+(AA87*(1+'Hipóteses xerais (2)'!$C$16))</f>
        <v>#N/A</v>
      </c>
      <c r="AB92" s="632" t="e">
        <f>AB75+(AB87*(1+'Hipóteses xerais (2)'!$C$16))</f>
        <v>#N/A</v>
      </c>
      <c r="AC92" s="632" t="e">
        <f>AC75+(AC87*(1+'Hipóteses xerais (2)'!$C$16))</f>
        <v>#N/A</v>
      </c>
      <c r="AD92" s="631" t="e">
        <f>AD75+(AD87*(1+'Hipóteses xerais (2)'!$C$16))</f>
        <v>#N/A</v>
      </c>
      <c r="AE92" s="630" t="e">
        <f>SUM(F92:AD92)</f>
        <v>#N/A</v>
      </c>
    </row>
    <row r="93" spans="3:31" ht="15" thickBot="1" x14ac:dyDescent="0.35">
      <c r="D93" s="629" t="s">
        <v>853</v>
      </c>
      <c r="E93" s="628"/>
      <c r="F93" s="627" t="e">
        <f>F76+(F88*(1+'Hipóteses xerais (2)'!$C$16))</f>
        <v>#N/A</v>
      </c>
      <c r="G93" s="627" t="e">
        <f>G76+(G88*(1+'Hipóteses xerais (2)'!$C$16))</f>
        <v>#N/A</v>
      </c>
      <c r="H93" s="627" t="e">
        <f>H76+(H88*(1+'Hipóteses xerais (2)'!$C$16))</f>
        <v>#N/A</v>
      </c>
      <c r="I93" s="627" t="e">
        <f>I76+(I88*(1+'Hipóteses xerais (2)'!$C$16))</f>
        <v>#N/A</v>
      </c>
      <c r="J93" s="627" t="e">
        <f>J76+(J88*(1+'Hipóteses xerais (2)'!$C$16))</f>
        <v>#N/A</v>
      </c>
      <c r="K93" s="627" t="e">
        <f>K76+(K88*(1+'Hipóteses xerais (2)'!$C$16))</f>
        <v>#N/A</v>
      </c>
      <c r="L93" s="627" t="e">
        <f>L76+(L88*(1+'Hipóteses xerais (2)'!$C$16))</f>
        <v>#N/A</v>
      </c>
      <c r="M93" s="627" t="e">
        <f>M76+(M88*(1+'Hipóteses xerais (2)'!$C$16))</f>
        <v>#N/A</v>
      </c>
      <c r="N93" s="627" t="e">
        <f>N76+(N88*(1+'Hipóteses xerais (2)'!$C$16))</f>
        <v>#N/A</v>
      </c>
      <c r="O93" s="627" t="e">
        <f>O76+(O88*(1+'Hipóteses xerais (2)'!$C$16))</f>
        <v>#N/A</v>
      </c>
      <c r="P93" s="627" t="e">
        <f>P76+(P88*(1+'Hipóteses xerais (2)'!$C$16))</f>
        <v>#N/A</v>
      </c>
      <c r="Q93" s="627" t="e">
        <f>Q76+(Q88*(1+'Hipóteses xerais (2)'!$C$16))</f>
        <v>#N/A</v>
      </c>
      <c r="R93" s="627" t="e">
        <f>R76+(R88*(1+'Hipóteses xerais (2)'!$C$16))</f>
        <v>#N/A</v>
      </c>
      <c r="S93" s="627" t="e">
        <f>S76+(S88*(1+'Hipóteses xerais (2)'!$C$16))</f>
        <v>#N/A</v>
      </c>
      <c r="T93" s="627" t="e">
        <f>T76+(T88*(1+'Hipóteses xerais (2)'!$C$16))</f>
        <v>#N/A</v>
      </c>
      <c r="U93" s="627" t="e">
        <f>U76+(U88*(1+'Hipóteses xerais (2)'!$C$16))</f>
        <v>#N/A</v>
      </c>
      <c r="V93" s="627" t="e">
        <f>V76+(V88*(1+'Hipóteses xerais (2)'!$C$16))</f>
        <v>#N/A</v>
      </c>
      <c r="W93" s="627" t="e">
        <f>W76+(W88*(1+'Hipóteses xerais (2)'!$C$16))</f>
        <v>#N/A</v>
      </c>
      <c r="X93" s="627" t="e">
        <f>X76+(X88*(1+'Hipóteses xerais (2)'!$C$16))</f>
        <v>#N/A</v>
      </c>
      <c r="Y93" s="627" t="e">
        <f>Y76+(Y88*(1+'Hipóteses xerais (2)'!$C$16))</f>
        <v>#N/A</v>
      </c>
      <c r="Z93" s="627" t="e">
        <f>Z76+(Z88*(1+'Hipóteses xerais (2)'!$C$16))</f>
        <v>#N/A</v>
      </c>
      <c r="AA93" s="627" t="e">
        <f>AA76+(AA88*(1+'Hipóteses xerais (2)'!$C$16))</f>
        <v>#N/A</v>
      </c>
      <c r="AB93" s="627" t="e">
        <f>AB76+(AB88*(1+'Hipóteses xerais (2)'!$C$16))</f>
        <v>#N/A</v>
      </c>
      <c r="AC93" s="627" t="e">
        <f>AC76+(AC88*(1+'Hipóteses xerais (2)'!$C$16))</f>
        <v>#N/A</v>
      </c>
      <c r="AD93" s="626" t="e">
        <f>AD76+(AD88*(1+'Hipóteses xerais (2)'!$C$16))</f>
        <v>#N/A</v>
      </c>
      <c r="AE93" s="625" t="e">
        <f>AE92/('Hipóteses xerais (2)'!$F$39*12)</f>
        <v>#N/A</v>
      </c>
    </row>
    <row r="95" spans="3:31" ht="15" thickBot="1" x14ac:dyDescent="0.35">
      <c r="F95" s="145"/>
    </row>
    <row r="96" spans="3:31" ht="15" thickBot="1" x14ac:dyDescent="0.35">
      <c r="C96" s="624" t="s">
        <v>852</v>
      </c>
      <c r="D96" s="623" t="s">
        <v>851</v>
      </c>
      <c r="E96" s="622" t="s">
        <v>850</v>
      </c>
    </row>
    <row r="97" spans="3:5" ht="29.4" thickBot="1" x14ac:dyDescent="0.35">
      <c r="C97" s="621" t="s">
        <v>849</v>
      </c>
      <c r="D97" s="620" t="e">
        <f>$F$93</f>
        <v>#N/A</v>
      </c>
      <c r="E97" s="619" t="e">
        <f>$F$92</f>
        <v>#N/A</v>
      </c>
    </row>
  </sheetData>
  <mergeCells count="2">
    <mergeCell ref="D4:E4"/>
    <mergeCell ref="D60:E60"/>
  </mergeCells>
  <pageMargins left="0.70866141732283472" right="0.70866141732283472" top="0.39370078740157483" bottom="0.35433070866141736"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A883-242C-4FF8-A121-0B6835DCA4FC}">
  <sheetPr>
    <pageSetUpPr fitToPage="1"/>
  </sheetPr>
  <dimension ref="B5:J77"/>
  <sheetViews>
    <sheetView topLeftCell="C4" zoomScale="118" zoomScaleNormal="118" workbookViewId="0">
      <selection activeCell="F72" sqref="F72:AD72"/>
    </sheetView>
  </sheetViews>
  <sheetFormatPr baseColWidth="10" defaultColWidth="11.5546875" defaultRowHeight="14.4" x14ac:dyDescent="0.3"/>
  <cols>
    <col min="3" max="3" width="51.44140625" customWidth="1"/>
    <col min="4" max="4" width="13.44140625" customWidth="1"/>
    <col min="5" max="5" width="15" bestFit="1" customWidth="1"/>
    <col min="6" max="6" width="16.33203125" customWidth="1"/>
    <col min="7" max="7" width="15.5546875" customWidth="1"/>
    <col min="8" max="8" width="33.21875" customWidth="1"/>
    <col min="9" max="9" width="17.44140625" customWidth="1"/>
    <col min="10" max="10" width="21.77734375" customWidth="1"/>
  </cols>
  <sheetData>
    <row r="5" spans="3:6" ht="15" thickBot="1" x14ac:dyDescent="0.35"/>
    <row r="6" spans="3:6" ht="15.6" thickTop="1" thickBot="1" x14ac:dyDescent="0.35">
      <c r="C6" s="737" t="s">
        <v>907</v>
      </c>
      <c r="D6" s="710" t="s">
        <v>197</v>
      </c>
      <c r="E6" s="844" t="s">
        <v>939</v>
      </c>
      <c r="F6" s="843" t="s">
        <v>920</v>
      </c>
    </row>
    <row r="7" spans="3:6" ht="15.6" thickTop="1" thickBot="1" x14ac:dyDescent="0.35">
      <c r="C7" s="883" t="s">
        <v>212</v>
      </c>
      <c r="D7" s="882">
        <f>SUM(D8:D12)</f>
        <v>13</v>
      </c>
      <c r="E7" s="882">
        <f>AVERAGE(E8:E12)</f>
        <v>35</v>
      </c>
      <c r="F7" s="881" t="e">
        <f>IF($D$26="Si", SUM(F8:F12),0)</f>
        <v>#N/A</v>
      </c>
    </row>
    <row r="8" spans="3:6" x14ac:dyDescent="0.3">
      <c r="C8" s="880" t="s">
        <v>215</v>
      </c>
      <c r="D8" s="879">
        <f>'Hipóteses Gastos'!C5</f>
        <v>0</v>
      </c>
      <c r="E8" s="878">
        <f>'Hipóteses Gastos'!D5</f>
        <v>0</v>
      </c>
      <c r="F8" s="877">
        <f>D8*E8</f>
        <v>0</v>
      </c>
    </row>
    <row r="9" spans="3:6" x14ac:dyDescent="0.3">
      <c r="C9" s="876" t="s">
        <v>255</v>
      </c>
      <c r="D9" s="819">
        <f>'Hipóteses Gastos'!C6</f>
        <v>0</v>
      </c>
      <c r="E9" s="818">
        <f>'Hipóteses Gastos'!D6</f>
        <v>0</v>
      </c>
      <c r="F9" s="875">
        <f>D9*E9</f>
        <v>0</v>
      </c>
    </row>
    <row r="10" spans="3:6" x14ac:dyDescent="0.3">
      <c r="C10" s="876" t="s">
        <v>257</v>
      </c>
      <c r="D10" s="819">
        <f>'Hipóteses Gastos'!C7</f>
        <v>1</v>
      </c>
      <c r="E10" s="818">
        <f>'Hipóteses Gastos'!D7</f>
        <v>150</v>
      </c>
      <c r="F10" s="875">
        <f>D10*E10</f>
        <v>150</v>
      </c>
    </row>
    <row r="11" spans="3:6" x14ac:dyDescent="0.3">
      <c r="C11" s="876" t="s">
        <v>260</v>
      </c>
      <c r="D11" s="819">
        <f>'Hipóteses Gastos'!C8</f>
        <v>0</v>
      </c>
      <c r="E11" s="818">
        <f>'Hipóteses Gastos'!D8</f>
        <v>0</v>
      </c>
      <c r="F11" s="875">
        <f>D11*E11</f>
        <v>0</v>
      </c>
    </row>
    <row r="12" spans="3:6" ht="15" thickBot="1" x14ac:dyDescent="0.35">
      <c r="C12" s="874" t="s">
        <v>264</v>
      </c>
      <c r="D12" s="816">
        <f>'Hipóteses Gastos'!C9</f>
        <v>12</v>
      </c>
      <c r="E12" s="815">
        <f>'Hipóteses Gastos'!D9</f>
        <v>25</v>
      </c>
      <c r="F12" s="873">
        <f>D12*E12</f>
        <v>300</v>
      </c>
    </row>
    <row r="13" spans="3:6" ht="15" thickBot="1" x14ac:dyDescent="0.35">
      <c r="C13" s="872" t="s">
        <v>266</v>
      </c>
      <c r="D13" s="871">
        <f>'Hipóteses Gastos'!$C$10</f>
        <v>0</v>
      </c>
      <c r="E13" s="870">
        <f>'Hipóteses Gastos'!$D$10</f>
        <v>150</v>
      </c>
      <c r="F13" s="869" t="e">
        <f>IF($D$26="Si",(D13*E13),0)</f>
        <v>#N/A</v>
      </c>
    </row>
    <row r="14" spans="3:6" ht="15" thickBot="1" x14ac:dyDescent="0.35">
      <c r="C14" s="868" t="s">
        <v>905</v>
      </c>
      <c r="D14" s="867">
        <f>D7+D13</f>
        <v>13</v>
      </c>
      <c r="E14" s="867">
        <f>AVERAGE(E7,E13)</f>
        <v>92.5</v>
      </c>
      <c r="F14" s="866" t="e">
        <f>F7+F13</f>
        <v>#N/A</v>
      </c>
    </row>
    <row r="15" spans="3:6" ht="15.6" thickTop="1" thickBot="1" x14ac:dyDescent="0.35"/>
    <row r="16" spans="3:6" ht="30" thickTop="1" thickBot="1" x14ac:dyDescent="0.35">
      <c r="C16" s="865" t="s">
        <v>907</v>
      </c>
      <c r="D16" s="864" t="s">
        <v>197</v>
      </c>
      <c r="E16" s="863" t="s">
        <v>945</v>
      </c>
      <c r="F16" s="862" t="s">
        <v>944</v>
      </c>
    </row>
    <row r="17" spans="3:6" ht="15" thickTop="1" x14ac:dyDescent="0.3">
      <c r="C17" s="555" t="s">
        <v>904</v>
      </c>
      <c r="D17" s="861">
        <f>'Hipóteses Gastos'!$C$16</f>
        <v>0.125</v>
      </c>
      <c r="E17" s="860">
        <f>'Hipóteses Gastos'!$D$16</f>
        <v>800</v>
      </c>
      <c r="F17" s="859" t="e">
        <f>IF(D23="Si", (D17*E17*14),0)</f>
        <v>#N/A</v>
      </c>
    </row>
    <row r="18" spans="3:6" x14ac:dyDescent="0.3">
      <c r="C18" s="166" t="s">
        <v>283</v>
      </c>
      <c r="D18" s="858">
        <f>'Hipóteses Gastos'!$C$17</f>
        <v>0.32</v>
      </c>
      <c r="E18">
        <f>(D17*E17)</f>
        <v>100</v>
      </c>
      <c r="F18" s="857" t="e">
        <f>IF(D23="Si",(D18*(E18*14)),0)</f>
        <v>#N/A</v>
      </c>
    </row>
    <row r="19" spans="3:6" ht="15" thickBot="1" x14ac:dyDescent="0.35">
      <c r="C19" s="856" t="s">
        <v>286</v>
      </c>
      <c r="D19" s="855">
        <f>'Hipóteses Gastos'!$C$18</f>
        <v>0</v>
      </c>
      <c r="E19" s="855">
        <f>'Hipóteses Gastos'!$D$18</f>
        <v>0</v>
      </c>
      <c r="F19" s="854" t="e">
        <f>IF(D23="Si",(D19*E19*14),0)</f>
        <v>#N/A</v>
      </c>
    </row>
    <row r="20" spans="3:6" ht="15" thickBot="1" x14ac:dyDescent="0.35">
      <c r="C20" s="853" t="s">
        <v>903</v>
      </c>
      <c r="D20" s="852"/>
      <c r="E20" s="852"/>
      <c r="F20" s="851" t="e">
        <f>IF(D23="Si",SUM(F17:F19),0)</f>
        <v>#N/A</v>
      </c>
    </row>
    <row r="21" spans="3:6" ht="15" thickTop="1" x14ac:dyDescent="0.3"/>
    <row r="23" spans="3:6" x14ac:dyDescent="0.3">
      <c r="C23" s="850" t="s">
        <v>943</v>
      </c>
      <c r="D23" s="849" t="e">
        <f>IF('Hipóteses xerais (2)'!E61="Persoal Propio","Si","Non")</f>
        <v>#N/A</v>
      </c>
    </row>
    <row r="24" spans="3:6" ht="28.8" x14ac:dyDescent="0.3">
      <c r="C24" s="846" t="s">
        <v>942</v>
      </c>
      <c r="D24" s="845"/>
    </row>
    <row r="26" spans="3:6" ht="28.8" x14ac:dyDescent="0.3">
      <c r="C26" s="848" t="s">
        <v>941</v>
      </c>
      <c r="D26" s="847" t="e">
        <f>'Hipóteses xerais (2)'!$E$67</f>
        <v>#N/A</v>
      </c>
    </row>
    <row r="27" spans="3:6" ht="28.8" x14ac:dyDescent="0.3">
      <c r="C27" s="846" t="s">
        <v>940</v>
      </c>
      <c r="D27" s="845"/>
    </row>
    <row r="29" spans="3:6" ht="15" thickBot="1" x14ac:dyDescent="0.35"/>
    <row r="30" spans="3:6" ht="15.6" thickTop="1" thickBot="1" x14ac:dyDescent="0.35">
      <c r="C30" s="737" t="s">
        <v>907</v>
      </c>
      <c r="D30" s="710" t="s">
        <v>197</v>
      </c>
      <c r="E30" s="844" t="s">
        <v>939</v>
      </c>
      <c r="F30" s="843" t="s">
        <v>920</v>
      </c>
    </row>
    <row r="31" spans="3:6" ht="15.6" thickTop="1" thickBot="1" x14ac:dyDescent="0.35">
      <c r="C31" s="745" t="s">
        <v>338</v>
      </c>
      <c r="D31" s="842">
        <f>'Hipóteses xerais (2)'!$F$78</f>
        <v>400</v>
      </c>
      <c r="E31" s="841">
        <f>'Hipóteses Gastos'!$D$25</f>
        <v>1.2</v>
      </c>
      <c r="F31" s="805">
        <f>D31*E31</f>
        <v>480</v>
      </c>
    </row>
    <row r="32" spans="3:6" x14ac:dyDescent="0.3">
      <c r="C32" s="813" t="s">
        <v>341</v>
      </c>
      <c r="D32" s="840">
        <f>SUM(D33:D34)</f>
        <v>2</v>
      </c>
      <c r="E32" s="839">
        <f>AVERAGE(E33:E34)</f>
        <v>300</v>
      </c>
      <c r="F32" s="820">
        <f>D32*E32</f>
        <v>600</v>
      </c>
    </row>
    <row r="33" spans="2:6" x14ac:dyDescent="0.3">
      <c r="B33" s="8"/>
      <c r="C33" s="808" t="s">
        <v>938</v>
      </c>
      <c r="D33" s="832">
        <f>'Hipóteses Gastos'!C27</f>
        <v>1</v>
      </c>
      <c r="E33" s="838">
        <f>'Hipóteses Gastos'!D27</f>
        <v>100</v>
      </c>
      <c r="F33" s="822">
        <f>D33*E33</f>
        <v>100</v>
      </c>
    </row>
    <row r="34" spans="2:6" ht="15" thickBot="1" x14ac:dyDescent="0.35">
      <c r="B34" s="8"/>
      <c r="C34" s="817" t="s">
        <v>937</v>
      </c>
      <c r="D34" s="828">
        <f>'Hipóteses Gastos'!C28</f>
        <v>1</v>
      </c>
      <c r="E34" s="815">
        <f>'Hipóteses Gastos'!D28</f>
        <v>500</v>
      </c>
      <c r="F34" s="837">
        <f>D34*E34</f>
        <v>500</v>
      </c>
    </row>
    <row r="35" spans="2:6" s="10" customFormat="1" ht="28.8" x14ac:dyDescent="0.3">
      <c r="C35" s="836" t="s">
        <v>350</v>
      </c>
      <c r="D35" s="835"/>
      <c r="E35" s="835"/>
      <c r="F35" s="834">
        <f>SUM(F36:F39)</f>
        <v>0</v>
      </c>
    </row>
    <row r="36" spans="2:6" x14ac:dyDescent="0.3">
      <c r="C36" s="833" t="s">
        <v>353</v>
      </c>
      <c r="D36" s="832">
        <f>'Hipóteses Gastos'!C30</f>
        <v>0</v>
      </c>
      <c r="E36" s="831">
        <f>'Hipóteses Gastos'!D30</f>
        <v>0</v>
      </c>
      <c r="F36" s="830">
        <f t="shared" ref="F36:F42" si="0">D36*E36</f>
        <v>0</v>
      </c>
    </row>
    <row r="37" spans="2:6" x14ac:dyDescent="0.3">
      <c r="C37" s="833" t="s">
        <v>356</v>
      </c>
      <c r="D37" s="832">
        <f>'Hipóteses Gastos'!C31</f>
        <v>0</v>
      </c>
      <c r="E37" s="831">
        <f>'Hipóteses Gastos'!D31</f>
        <v>0</v>
      </c>
      <c r="F37" s="830">
        <f t="shared" si="0"/>
        <v>0</v>
      </c>
    </row>
    <row r="38" spans="2:6" x14ac:dyDescent="0.3">
      <c r="C38" s="833" t="s">
        <v>359</v>
      </c>
      <c r="D38" s="832">
        <f>'Hipóteses Gastos'!C32</f>
        <v>0</v>
      </c>
      <c r="E38" s="831">
        <f>'Hipóteses Gastos'!D32</f>
        <v>0</v>
      </c>
      <c r="F38" s="830">
        <f t="shared" si="0"/>
        <v>0</v>
      </c>
    </row>
    <row r="39" spans="2:6" ht="15" thickBot="1" x14ac:dyDescent="0.35">
      <c r="C39" s="829" t="s">
        <v>363</v>
      </c>
      <c r="D39" s="828">
        <f>'Hipóteses Gastos'!C33</f>
        <v>0</v>
      </c>
      <c r="E39" s="827">
        <f>'Hipóteses Gastos'!D33</f>
        <v>0</v>
      </c>
      <c r="F39" s="826">
        <f t="shared" si="0"/>
        <v>0</v>
      </c>
    </row>
    <row r="40" spans="2:6" x14ac:dyDescent="0.3">
      <c r="C40" s="745" t="s">
        <v>392</v>
      </c>
      <c r="D40" s="63"/>
      <c r="E40" s="63"/>
      <c r="F40" s="822">
        <f t="shared" si="0"/>
        <v>0</v>
      </c>
    </row>
    <row r="41" spans="2:6" x14ac:dyDescent="0.3">
      <c r="C41" s="745" t="s">
        <v>936</v>
      </c>
      <c r="D41" s="825">
        <f>'Hipóteses Gastos'!$C$35</f>
        <v>0.02</v>
      </c>
      <c r="E41" s="11">
        <f>('Hipóteses xerais (2)'!$C$17*'Hipóteses xerais (2)'!$C$18)</f>
        <v>70000</v>
      </c>
      <c r="F41" s="822">
        <f t="shared" si="0"/>
        <v>1400</v>
      </c>
    </row>
    <row r="42" spans="2:6" ht="15" thickBot="1" x14ac:dyDescent="0.35">
      <c r="C42" s="745" t="s">
        <v>900</v>
      </c>
      <c r="D42" s="824">
        <f>'Hipóteses Gastos'!$C$36</f>
        <v>4</v>
      </c>
      <c r="E42" s="823">
        <f>'Hipóteses Gastos'!$D$36</f>
        <v>60</v>
      </c>
      <c r="F42" s="822">
        <f t="shared" si="0"/>
        <v>240</v>
      </c>
    </row>
    <row r="43" spans="2:6" x14ac:dyDescent="0.3">
      <c r="C43" s="813" t="s">
        <v>401</v>
      </c>
      <c r="D43" s="821">
        <f>SUM(D44:D46)</f>
        <v>0</v>
      </c>
      <c r="E43" s="821">
        <f>AVERAGE(E44:E46)</f>
        <v>0</v>
      </c>
      <c r="F43" s="820">
        <f>SUM(F44:F46)</f>
        <v>0</v>
      </c>
    </row>
    <row r="44" spans="2:6" x14ac:dyDescent="0.3">
      <c r="C44" s="808" t="s">
        <v>404</v>
      </c>
      <c r="D44" s="819">
        <f>'Hipóteses Gastos'!C38</f>
        <v>0</v>
      </c>
      <c r="E44" s="818">
        <f>'Hipóteses Gastos'!D38</f>
        <v>0</v>
      </c>
      <c r="F44" s="805">
        <f>D44*E44</f>
        <v>0</v>
      </c>
    </row>
    <row r="45" spans="2:6" x14ac:dyDescent="0.3">
      <c r="C45" s="808" t="s">
        <v>407</v>
      </c>
      <c r="D45" s="819">
        <f>'Hipóteses Gastos'!C39</f>
        <v>0</v>
      </c>
      <c r="E45" s="818">
        <f>'Hipóteses Gastos'!D39</f>
        <v>0</v>
      </c>
      <c r="F45" s="805">
        <f>D45*E45</f>
        <v>0</v>
      </c>
    </row>
    <row r="46" spans="2:6" ht="15" thickBot="1" x14ac:dyDescent="0.35">
      <c r="C46" s="817" t="s">
        <v>409</v>
      </c>
      <c r="D46" s="816">
        <f>'Hipóteses Gastos'!C40</f>
        <v>0</v>
      </c>
      <c r="E46" s="815">
        <f>'Hipóteses Gastos'!D40</f>
        <v>0</v>
      </c>
      <c r="F46" s="814">
        <f>D46*E46</f>
        <v>0</v>
      </c>
    </row>
    <row r="47" spans="2:6" x14ac:dyDescent="0.3">
      <c r="C47" s="813" t="s">
        <v>413</v>
      </c>
      <c r="D47" s="821"/>
      <c r="E47" s="821"/>
      <c r="F47" s="820" t="e">
        <f>SUM(F48:F52)</f>
        <v>#N/A</v>
      </c>
    </row>
    <row r="48" spans="2:6" x14ac:dyDescent="0.3">
      <c r="C48" s="808" t="s">
        <v>935</v>
      </c>
      <c r="D48" s="819">
        <f>'Hipóteses Gastos'!C42</f>
        <v>0</v>
      </c>
      <c r="E48" s="818">
        <f>'Hipóteses Gastos'!D42</f>
        <v>30</v>
      </c>
      <c r="F48" s="805">
        <f>D48*E48</f>
        <v>0</v>
      </c>
    </row>
    <row r="49" spans="3:10" x14ac:dyDescent="0.3">
      <c r="C49" s="808" t="s">
        <v>419</v>
      </c>
      <c r="D49" s="819">
        <f>'Hipóteses Gastos'!C43</f>
        <v>12</v>
      </c>
      <c r="E49" s="818">
        <f>'Hipóteses Gastos'!D43</f>
        <v>30</v>
      </c>
      <c r="F49" s="805" t="e" cm="1">
        <f t="array" ref="F49:G49">IF('Hipóteses xerais (2)'!G64:H64="Si",(D49*E49),0)</f>
        <v>#N/A</v>
      </c>
      <c r="G49">
        <v>0</v>
      </c>
    </row>
    <row r="50" spans="3:10" x14ac:dyDescent="0.3">
      <c r="C50" s="808" t="s">
        <v>421</v>
      </c>
      <c r="D50" s="819">
        <f>'Hipóteses Gastos'!C44</f>
        <v>12</v>
      </c>
      <c r="E50" s="818">
        <f>'Hipóteses Gastos'!D44</f>
        <v>12.87</v>
      </c>
      <c r="F50" s="805" t="e" cm="1">
        <f t="array" ref="F50:G50">IF('Hipóteses xerais (2)'!G61:H61="Si",(D50*E50),0)</f>
        <v>#N/A</v>
      </c>
      <c r="G50">
        <v>0</v>
      </c>
    </row>
    <row r="51" spans="3:10" x14ac:dyDescent="0.3">
      <c r="C51" s="808" t="s">
        <v>934</v>
      </c>
      <c r="D51" s="819">
        <f>'Hipóteses Gastos'!C45</f>
        <v>12</v>
      </c>
      <c r="E51" s="818">
        <f>'Hipóteses Gastos'!D45</f>
        <v>13</v>
      </c>
      <c r="F51" s="805" t="e" cm="1">
        <f t="array" ref="F51:G51">IF('Hipóteses xerais (2)'!G61:H61="Si",(D51*E51),0)</f>
        <v>#N/A</v>
      </c>
      <c r="G51">
        <v>0</v>
      </c>
    </row>
    <row r="52" spans="3:10" ht="15" thickBot="1" x14ac:dyDescent="0.35">
      <c r="C52" s="817" t="s">
        <v>933</v>
      </c>
      <c r="D52" s="816">
        <f>'Hipóteses Gastos'!C46</f>
        <v>0</v>
      </c>
      <c r="E52" s="815">
        <f>'Hipóteses Gastos'!D46</f>
        <v>25</v>
      </c>
      <c r="F52" s="814">
        <f>D52*E52</f>
        <v>0</v>
      </c>
    </row>
    <row r="53" spans="3:10" ht="15" thickBot="1" x14ac:dyDescent="0.35">
      <c r="C53" s="813" t="s">
        <v>899</v>
      </c>
      <c r="D53" s="637"/>
      <c r="E53" s="637"/>
      <c r="F53" s="812" t="e">
        <f>SUM(F54:F55)</f>
        <v>#N/A</v>
      </c>
      <c r="H53" s="624" t="s">
        <v>932</v>
      </c>
      <c r="I53" s="756"/>
      <c r="J53" s="755"/>
    </row>
    <row r="54" spans="3:10" ht="15" thickBot="1" x14ac:dyDescent="0.35">
      <c r="C54" s="808" t="s">
        <v>931</v>
      </c>
      <c r="D54">
        <v>12</v>
      </c>
      <c r="E54" s="145" t="e" cm="1">
        <f t="array" ref="E54">_xlfn.IFS('Hipóteses xerais (2)'!E61="Subcontratación",$J$58,'Hipóteses xerais (2)'!E61="Persoal Propio",($J$57+$J$56),'Hipóteses xerais (2)'!E61="Auto-explotación",$J$56)</f>
        <v>#N/A</v>
      </c>
      <c r="F54" s="805" t="e">
        <f>D54*E54</f>
        <v>#N/A</v>
      </c>
      <c r="H54" s="811" t="s">
        <v>568</v>
      </c>
      <c r="I54" s="810" t="s">
        <v>930</v>
      </c>
      <c r="J54" s="809" t="s">
        <v>493</v>
      </c>
    </row>
    <row r="55" spans="3:10" ht="15" thickBot="1" x14ac:dyDescent="0.35">
      <c r="C55" s="808" t="s">
        <v>929</v>
      </c>
      <c r="D55" s="807"/>
      <c r="E55" s="806"/>
      <c r="F55" s="805" t="e">
        <f>IF('Hipóteses xerais (2)'!G73="Non",0,(IF(F54&lt;(0.05*'Conta explotación'!F15),((0.05*'Conta explotación'!F15)-'Estim. Gastos'!F54),0)))</f>
        <v>#N/A</v>
      </c>
      <c r="H55" s="804" t="s">
        <v>928</v>
      </c>
      <c r="I55" s="803" t="s">
        <v>927</v>
      </c>
      <c r="J55" s="802">
        <f>'Hipóteses Gastos'!$D$49</f>
        <v>60</v>
      </c>
    </row>
    <row r="56" spans="3:10" ht="15.6" thickTop="1" thickBot="1" x14ac:dyDescent="0.35">
      <c r="C56" s="710" t="s">
        <v>898</v>
      </c>
      <c r="D56" s="709"/>
      <c r="E56" s="709"/>
      <c r="F56" s="801" t="e">
        <f>F31+F32+F35+F40+F41+F42+F43+F47+F53</f>
        <v>#N/A</v>
      </c>
      <c r="H56" s="797" t="s">
        <v>486</v>
      </c>
      <c r="I56" s="800">
        <f>'Hipóteses Gastos'!$C$50</f>
        <v>1.5</v>
      </c>
      <c r="J56" s="799" t="e">
        <f>I56*'Hipóteses xerais (2)'!$I$41</f>
        <v>#N/A</v>
      </c>
    </row>
    <row r="57" spans="3:10" ht="15" thickTop="1" x14ac:dyDescent="0.3">
      <c r="C57" s="798"/>
      <c r="F57" s="12"/>
      <c r="H57" s="797" t="s">
        <v>488</v>
      </c>
      <c r="I57" s="796" t="s">
        <v>927</v>
      </c>
      <c r="J57" s="795">
        <f>'Hipóteses Gastos'!$D$51</f>
        <v>30</v>
      </c>
    </row>
    <row r="58" spans="3:10" ht="15" thickBot="1" x14ac:dyDescent="0.35">
      <c r="C58" s="13"/>
      <c r="F58" s="12"/>
      <c r="H58" s="794" t="s">
        <v>926</v>
      </c>
      <c r="I58" s="793"/>
      <c r="J58" s="792" t="e">
        <f>SUM(J55:J57)</f>
        <v>#N/A</v>
      </c>
    </row>
    <row r="59" spans="3:10" x14ac:dyDescent="0.3">
      <c r="F59" s="12"/>
    </row>
    <row r="60" spans="3:10" x14ac:dyDescent="0.3">
      <c r="C60" s="14"/>
      <c r="F60" s="12"/>
    </row>
    <row r="61" spans="3:10" ht="15" thickBot="1" x14ac:dyDescent="0.35">
      <c r="C61" s="13" t="s">
        <v>895</v>
      </c>
      <c r="F61" s="12"/>
    </row>
    <row r="62" spans="3:10" s="10" customFormat="1" ht="30" thickTop="1" thickBot="1" x14ac:dyDescent="0.35">
      <c r="C62" s="791" t="s">
        <v>925</v>
      </c>
      <c r="D62" s="790" t="s">
        <v>767</v>
      </c>
      <c r="E62" s="788" t="s">
        <v>766</v>
      </c>
      <c r="F62" s="789" t="s">
        <v>555</v>
      </c>
      <c r="G62" s="788" t="s">
        <v>558</v>
      </c>
      <c r="H62" s="787" t="s">
        <v>765</v>
      </c>
      <c r="I62" s="788" t="s">
        <v>561</v>
      </c>
      <c r="J62" s="787" t="s">
        <v>924</v>
      </c>
    </row>
    <row r="63" spans="3:10" ht="28.8" x14ac:dyDescent="0.3">
      <c r="C63" s="480" t="s">
        <v>504</v>
      </c>
      <c r="D63" s="786">
        <f>'Hipóteses xerais (2)'!$C$17</f>
        <v>70</v>
      </c>
      <c r="E63" s="785">
        <f>'Hipóteses Gastos'!$D$60</f>
        <v>40</v>
      </c>
      <c r="F63" s="784">
        <f xml:space="preserve"> (D63*E63)</f>
        <v>2800</v>
      </c>
      <c r="G63" s="783">
        <f>'Hipóteses Gastos'!F60</f>
        <v>0</v>
      </c>
      <c r="H63" s="781">
        <f>F63-G63</f>
        <v>2800</v>
      </c>
      <c r="I63" s="782" t="e">
        <f>'Hipóteses xerais (2)'!$C$36</f>
        <v>#N/A</v>
      </c>
      <c r="J63" s="781" t="e">
        <f>IF(I63="Si",H63,0)</f>
        <v>#N/A</v>
      </c>
    </row>
    <row r="64" spans="3:10" ht="28.8" x14ac:dyDescent="0.3">
      <c r="C64" s="780" t="s">
        <v>507</v>
      </c>
      <c r="D64" s="779"/>
      <c r="E64" s="779"/>
      <c r="F64" s="778">
        <f>'Hipóteses Gastos'!E61</f>
        <v>10.47</v>
      </c>
      <c r="G64" s="778">
        <f>'Hipóteses Gastos'!F61</f>
        <v>0</v>
      </c>
      <c r="H64" s="776">
        <f>F64-G64</f>
        <v>10.47</v>
      </c>
      <c r="I64" s="777" t="e">
        <f>'Hipóteses Gastos'!G61</f>
        <v>#N/A</v>
      </c>
      <c r="J64" s="776" t="e">
        <f>IF(I64="Si",H64,0)</f>
        <v>#N/A</v>
      </c>
    </row>
    <row r="65" spans="3:10" ht="28.8" x14ac:dyDescent="0.3">
      <c r="C65" s="475" t="s">
        <v>13</v>
      </c>
      <c r="D65" s="775"/>
      <c r="E65" s="775"/>
      <c r="F65" s="774">
        <f>'Hipóteses Gastos'!E62</f>
        <v>2709.61</v>
      </c>
      <c r="G65" s="773">
        <f>'Hipóteses Gastos'!F62</f>
        <v>0</v>
      </c>
      <c r="H65" s="771">
        <f>F65-G65</f>
        <v>2709.61</v>
      </c>
      <c r="I65" s="772" t="str">
        <f>'Hipóteses Gastos'!G62</f>
        <v>Non</v>
      </c>
      <c r="J65" s="771">
        <f>IF(I65="Si",H65,0)</f>
        <v>0</v>
      </c>
    </row>
    <row r="66" spans="3:10" ht="43.2" x14ac:dyDescent="0.3">
      <c r="C66" s="475" t="s">
        <v>14</v>
      </c>
      <c r="D66" s="775"/>
      <c r="E66" s="775"/>
      <c r="F66" s="774">
        <f>'Hipóteses Gastos'!E63</f>
        <v>97.54</v>
      </c>
      <c r="G66" s="773">
        <f>'Hipóteses Gastos'!F63</f>
        <v>0</v>
      </c>
      <c r="H66" s="771">
        <f>F66-G66</f>
        <v>97.54</v>
      </c>
      <c r="I66" s="772" t="str">
        <f>'Hipóteses Gastos'!G63</f>
        <v>Non</v>
      </c>
      <c r="J66" s="771">
        <f>IF(I66="Si",H66,0)</f>
        <v>0</v>
      </c>
    </row>
    <row r="67" spans="3:10" ht="29.4" thickBot="1" x14ac:dyDescent="0.35">
      <c r="C67" s="471" t="s">
        <v>15</v>
      </c>
      <c r="D67" s="770"/>
      <c r="E67" s="770"/>
      <c r="F67" s="769" t="e">
        <f>'Hipóteses Gastos'!$E$64</f>
        <v>#N/A</v>
      </c>
      <c r="G67" s="768">
        <f>'Hipóteses Gastos'!F64</f>
        <v>0</v>
      </c>
      <c r="H67" s="766" t="e">
        <f>F67-G67</f>
        <v>#N/A</v>
      </c>
      <c r="I67" s="767" t="str">
        <f>'Hipóteses Gastos'!G64</f>
        <v>Non</v>
      </c>
      <c r="J67" s="766">
        <f>IF(I67="Si",H67,0)</f>
        <v>0</v>
      </c>
    </row>
    <row r="68" spans="3:10" ht="15" thickBot="1" x14ac:dyDescent="0.35">
      <c r="C68" s="765" t="s">
        <v>923</v>
      </c>
      <c r="D68" s="763"/>
      <c r="E68" s="763"/>
      <c r="F68" s="764" t="e">
        <f>SUM(F63:F67)</f>
        <v>#N/A</v>
      </c>
      <c r="G68" s="764">
        <f>SUM(G63:G67)</f>
        <v>0</v>
      </c>
      <c r="H68" s="762" t="e">
        <f>SUM(H63:H67)</f>
        <v>#N/A</v>
      </c>
      <c r="I68" s="763"/>
      <c r="J68" s="762" t="e">
        <f>SUM(J63:J67)</f>
        <v>#N/A</v>
      </c>
    </row>
    <row r="69" spans="3:10" ht="15.6" thickTop="1" thickBot="1" x14ac:dyDescent="0.35"/>
    <row r="70" spans="3:10" ht="15.6" thickTop="1" thickBot="1" x14ac:dyDescent="0.35">
      <c r="C70" s="761" t="str">
        <f>'Hipóteses xerais (2)'!B$57</f>
        <v>Total Taxas Municipais e Outras Obrigas Tributarias</v>
      </c>
      <c r="D70" s="760">
        <f>'Hipóteses xerais (2)'!C$57</f>
        <v>0</v>
      </c>
      <c r="E70" s="760">
        <f>'Hipóteses xerais (2)'!D$57</f>
        <v>0</v>
      </c>
      <c r="F70" s="760" t="e">
        <f>'Hipóteses xerais (2)'!E$57</f>
        <v>#N/A</v>
      </c>
      <c r="G70" s="760">
        <f>'Hipóteses xerais (2)'!F$57</f>
        <v>0</v>
      </c>
      <c r="H70" s="759" t="e">
        <f>'Hipóteses xerais (2)'!G$57</f>
        <v>#N/A</v>
      </c>
    </row>
    <row r="71" spans="3:10" ht="15.6" thickTop="1" thickBot="1" x14ac:dyDescent="0.35"/>
    <row r="72" spans="3:10" ht="15.6" thickTop="1" thickBot="1" x14ac:dyDescent="0.35">
      <c r="C72" s="721" t="s">
        <v>922</v>
      </c>
      <c r="D72" s="709"/>
      <c r="E72" s="709"/>
      <c r="F72" s="709"/>
      <c r="G72" s="758"/>
      <c r="H72" s="757" t="e">
        <f>$J$68+$H$70</f>
        <v>#N/A</v>
      </c>
    </row>
    <row r="73" spans="3:10" ht="15.6" thickTop="1" thickBot="1" x14ac:dyDescent="0.35"/>
    <row r="74" spans="3:10" ht="15" thickBot="1" x14ac:dyDescent="0.35">
      <c r="D74" s="754" t="s">
        <v>197</v>
      </c>
      <c r="E74" s="756" t="s">
        <v>921</v>
      </c>
      <c r="F74" s="755" t="s">
        <v>920</v>
      </c>
    </row>
    <row r="75" spans="3:10" ht="15" thickBot="1" x14ac:dyDescent="0.35">
      <c r="C75" s="754" t="s">
        <v>565</v>
      </c>
      <c r="D75" s="753">
        <f>'Hipóteses Gastos'!$C$72</f>
        <v>10</v>
      </c>
      <c r="E75" s="752">
        <f>'Hipóteses Gastos'!$D$72</f>
        <v>5</v>
      </c>
      <c r="F75" s="751">
        <f>D75*E75</f>
        <v>50</v>
      </c>
    </row>
    <row r="76" spans="3:10" ht="15" thickBot="1" x14ac:dyDescent="0.35"/>
    <row r="77" spans="3:10" ht="15" thickBot="1" x14ac:dyDescent="0.35">
      <c r="C77" s="685" t="s">
        <v>894</v>
      </c>
      <c r="D77" s="750" t="e">
        <f>$F$14+$F$20+$F$56+$H$72+$F$75</f>
        <v>#N/A</v>
      </c>
    </row>
  </sheetData>
  <dataValidations count="2">
    <dataValidation type="list" allowBlank="1" showDropDown="1" showInputMessage="1" showErrorMessage="1" sqref="D26 D23" xr:uid="{9D68DF24-76A0-4FCC-BC59-71426D15A298}">
      <formula1>"Si,Non"</formula1>
    </dataValidation>
    <dataValidation type="list" allowBlank="1" showInputMessage="1" showErrorMessage="1" sqref="I63:I67" xr:uid="{1C273C96-4E30-43FE-AD76-5FA959382CFE}">
      <formula1>"Si,Non"</formula1>
    </dataValidation>
  </dataValidations>
  <printOptions horizontalCentered="1" verticalCentered="1"/>
  <pageMargins left="0.70866141732283472" right="0.70866141732283472" top="0.15748031496062992" bottom="0.15748031496062992" header="0.31496062992125984" footer="0.31496062992125984"/>
  <pageSetup paperSize="9" scale="63" fitToHeight="0" orientation="landscape" horizontalDpi="1200" verticalDpi="12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1E526-EE13-486C-928D-21D146A323C9}">
  <dimension ref="A1:D37"/>
  <sheetViews>
    <sheetView topLeftCell="A6" zoomScale="112" zoomScaleNormal="112" workbookViewId="0">
      <selection activeCell="F72" sqref="F72:AD72"/>
    </sheetView>
  </sheetViews>
  <sheetFormatPr baseColWidth="10" defaultColWidth="11.5546875" defaultRowHeight="14.4" x14ac:dyDescent="0.3"/>
  <cols>
    <col min="1" max="1" width="50.44140625" customWidth="1"/>
    <col min="2" max="2" width="21.5546875" bestFit="1" customWidth="1"/>
    <col min="3" max="3" width="16.5546875" bestFit="1" customWidth="1"/>
    <col min="4" max="4" width="24" bestFit="1" customWidth="1"/>
  </cols>
  <sheetData>
    <row r="1" spans="1:4" ht="15" thickBot="1" x14ac:dyDescent="0.35">
      <c r="A1" s="952"/>
      <c r="B1" s="951" t="s">
        <v>598</v>
      </c>
      <c r="C1" s="956" t="s">
        <v>596</v>
      </c>
    </row>
    <row r="2" spans="1:4" x14ac:dyDescent="0.3">
      <c r="A2" s="954" t="s">
        <v>977</v>
      </c>
      <c r="B2" s="390" t="s">
        <v>976</v>
      </c>
      <c r="C2" s="955" t="e">
        <f>'Hipóteses xerais (2)'!$C$35</f>
        <v>#N/A</v>
      </c>
    </row>
    <row r="3" spans="1:4" ht="15" thickBot="1" x14ac:dyDescent="0.35">
      <c r="A3" s="954" t="s">
        <v>975</v>
      </c>
      <c r="B3" s="390" t="s">
        <v>974</v>
      </c>
      <c r="C3" s="953">
        <f>'Hipóteses xerais (2)'!$C$22</f>
        <v>100</v>
      </c>
    </row>
    <row r="4" spans="1:4" ht="15" thickBot="1" x14ac:dyDescent="0.35">
      <c r="A4" s="952" t="s">
        <v>973</v>
      </c>
      <c r="B4" s="951" t="s">
        <v>972</v>
      </c>
      <c r="C4" s="950" t="e">
        <f>$D$21</f>
        <v>#N/A</v>
      </c>
    </row>
    <row r="5" spans="1:4" ht="15" thickBot="1" x14ac:dyDescent="0.35">
      <c r="B5" s="390"/>
    </row>
    <row r="6" spans="1:4" ht="15" thickBot="1" x14ac:dyDescent="0.35">
      <c r="B6" s="934" t="s">
        <v>971</v>
      </c>
      <c r="C6" s="756" t="s">
        <v>970</v>
      </c>
      <c r="D6" s="622" t="s">
        <v>969</v>
      </c>
    </row>
    <row r="7" spans="1:4" x14ac:dyDescent="0.3">
      <c r="A7" s="804" t="s">
        <v>968</v>
      </c>
      <c r="B7" s="914">
        <f>'Hipóteses xerais (2)'!$C$22</f>
        <v>100</v>
      </c>
      <c r="C7" s="949">
        <f>'Hipóteses xerais (2)'!$C$23</f>
        <v>1</v>
      </c>
      <c r="D7" s="948">
        <f>B7*C7</f>
        <v>100</v>
      </c>
    </row>
    <row r="8" spans="1:4" x14ac:dyDescent="0.3">
      <c r="A8" s="797" t="s">
        <v>967</v>
      </c>
      <c r="B8" s="947">
        <f>'Hipóteses xerais (2)'!$C$22</f>
        <v>100</v>
      </c>
      <c r="C8" s="946">
        <f>'Hipóteses xerais (2)'!$C$24</f>
        <v>0.5</v>
      </c>
      <c r="D8" s="945">
        <f>B8*C8</f>
        <v>50</v>
      </c>
    </row>
    <row r="9" spans="1:4" ht="15" thickBot="1" x14ac:dyDescent="0.35">
      <c r="A9" s="937" t="s">
        <v>966</v>
      </c>
      <c r="B9" s="944">
        <f>'Hipóteses xerais (2)'!$C$22</f>
        <v>100</v>
      </c>
      <c r="C9" s="943">
        <f>'Hipóteses xerais (2)'!$C$25</f>
        <v>0.75</v>
      </c>
      <c r="D9" s="942">
        <f>B9*C9</f>
        <v>75</v>
      </c>
    </row>
    <row r="10" spans="1:4" ht="15" thickBot="1" x14ac:dyDescent="0.35"/>
    <row r="11" spans="1:4" ht="15" thickBot="1" x14ac:dyDescent="0.35">
      <c r="B11" s="934" t="s">
        <v>965</v>
      </c>
      <c r="C11" s="933" t="s">
        <v>960</v>
      </c>
      <c r="D11" s="622" t="s">
        <v>964</v>
      </c>
    </row>
    <row r="12" spans="1:4" x14ac:dyDescent="0.3">
      <c r="A12" s="804" t="s">
        <v>963</v>
      </c>
      <c r="B12" s="941" t="e">
        <f>'Hipóteses xerais (2)'!$C$26</f>
        <v>#N/A</v>
      </c>
      <c r="C12" s="932" t="e">
        <f>$C$2</f>
        <v>#N/A</v>
      </c>
      <c r="D12" s="940" t="e">
        <f>B12*C12</f>
        <v>#N/A</v>
      </c>
    </row>
    <row r="13" spans="1:4" x14ac:dyDescent="0.3">
      <c r="A13" s="797" t="s">
        <v>962</v>
      </c>
      <c r="B13" s="939" t="e">
        <f>'Hipóteses xerais (2)'!$C$27</f>
        <v>#N/A</v>
      </c>
      <c r="C13" s="931" t="e">
        <f>$C$2</f>
        <v>#N/A</v>
      </c>
      <c r="D13" s="938" t="e">
        <f>B13*C13</f>
        <v>#N/A</v>
      </c>
    </row>
    <row r="14" spans="1:4" ht="15" thickBot="1" x14ac:dyDescent="0.35">
      <c r="A14" s="937" t="s">
        <v>961</v>
      </c>
      <c r="B14" s="936" t="e">
        <f>'Hipóteses xerais (2)'!$C$28</f>
        <v>#N/A</v>
      </c>
      <c r="C14" s="930" t="e">
        <f>$C$2</f>
        <v>#N/A</v>
      </c>
      <c r="D14" s="935" t="e">
        <f>B14*C14</f>
        <v>#N/A</v>
      </c>
    </row>
    <row r="16" spans="1:4" s="10" customFormat="1" ht="15" thickBot="1" x14ac:dyDescent="0.35"/>
    <row r="17" spans="1:4" ht="15" thickBot="1" x14ac:dyDescent="0.35">
      <c r="B17" s="934" t="str">
        <f>$D$6</f>
        <v>Prezo a Aplicar (€/MWh)</v>
      </c>
      <c r="C17" s="933" t="s">
        <v>960</v>
      </c>
      <c r="D17" s="916" t="s">
        <v>957</v>
      </c>
    </row>
    <row r="18" spans="1:4" x14ac:dyDescent="0.3">
      <c r="A18" s="915" t="s">
        <v>956</v>
      </c>
      <c r="B18" s="914">
        <f>$D7</f>
        <v>100</v>
      </c>
      <c r="C18" s="932" t="e">
        <f>$D12</f>
        <v>#N/A</v>
      </c>
      <c r="D18" s="912" t="e">
        <f>B18*C18</f>
        <v>#N/A</v>
      </c>
    </row>
    <row r="19" spans="1:4" x14ac:dyDescent="0.3">
      <c r="A19" s="911" t="s">
        <v>955</v>
      </c>
      <c r="B19" s="910">
        <f>$D8</f>
        <v>50</v>
      </c>
      <c r="C19" s="931" t="e">
        <f>$D13</f>
        <v>#N/A</v>
      </c>
      <c r="D19" s="906" t="e">
        <f>B19*C19</f>
        <v>#N/A</v>
      </c>
    </row>
    <row r="20" spans="1:4" ht="15" thickBot="1" x14ac:dyDescent="0.35">
      <c r="A20" s="794" t="s">
        <v>954</v>
      </c>
      <c r="B20" s="908">
        <f>$D9</f>
        <v>75</v>
      </c>
      <c r="C20" s="930" t="e">
        <f>$D14</f>
        <v>#N/A</v>
      </c>
      <c r="D20" s="906" t="e">
        <f>B20*C20</f>
        <v>#N/A</v>
      </c>
    </row>
    <row r="21" spans="1:4" ht="29.4" thickBot="1" x14ac:dyDescent="0.35">
      <c r="A21" s="905" t="s">
        <v>953</v>
      </c>
      <c r="B21" s="810"/>
      <c r="C21" s="929" t="e">
        <f>SUM(C18:C20)</f>
        <v>#N/A</v>
      </c>
      <c r="D21" s="902" t="e">
        <f>SUM(D18:D20)</f>
        <v>#N/A</v>
      </c>
    </row>
    <row r="22" spans="1:4" ht="16.2" x14ac:dyDescent="0.3">
      <c r="A22" s="925"/>
      <c r="B22" s="928"/>
      <c r="C22" s="927"/>
      <c r="D22" s="926"/>
    </row>
    <row r="23" spans="1:4" ht="16.8" thickBot="1" x14ac:dyDescent="0.35">
      <c r="A23" s="925"/>
      <c r="B23" s="65"/>
      <c r="C23" s="924"/>
      <c r="D23" s="923"/>
    </row>
    <row r="24" spans="1:4" ht="29.4" thickBot="1" x14ac:dyDescent="0.35">
      <c r="A24" s="922" t="s">
        <v>959</v>
      </c>
      <c r="B24" s="921"/>
      <c r="C24" s="920"/>
      <c r="D24" s="919"/>
    </row>
    <row r="25" spans="1:4" ht="29.4" thickBot="1" x14ac:dyDescent="0.35">
      <c r="B25" s="918" t="str">
        <f>$D17</f>
        <v>Valor da Enerxía (€)</v>
      </c>
      <c r="C25" s="917" t="s">
        <v>958</v>
      </c>
      <c r="D25" s="916" t="s">
        <v>957</v>
      </c>
    </row>
    <row r="26" spans="1:4" x14ac:dyDescent="0.3">
      <c r="A26" s="915" t="s">
        <v>956</v>
      </c>
      <c r="B26" s="914" t="e">
        <f>$D18</f>
        <v>#N/A</v>
      </c>
      <c r="C26" s="913">
        <f>100%</f>
        <v>1</v>
      </c>
      <c r="D26" s="912" t="e">
        <f>B26*C26</f>
        <v>#N/A</v>
      </c>
    </row>
    <row r="27" spans="1:4" x14ac:dyDescent="0.3">
      <c r="A27" s="911" t="s">
        <v>955</v>
      </c>
      <c r="B27" s="910" t="e">
        <f>$D19</f>
        <v>#N/A</v>
      </c>
      <c r="C27" s="909" t="e">
        <f>'Hipóteses xerais (2)'!$C$29</f>
        <v>#N/A</v>
      </c>
      <c r="D27" s="906" t="e">
        <f>B27*C27</f>
        <v>#N/A</v>
      </c>
    </row>
    <row r="28" spans="1:4" ht="15" thickBot="1" x14ac:dyDescent="0.35">
      <c r="A28" s="794" t="s">
        <v>954</v>
      </c>
      <c r="B28" s="908" t="e">
        <f>$D20</f>
        <v>#N/A</v>
      </c>
      <c r="C28" s="907">
        <v>1</v>
      </c>
      <c r="D28" s="906" t="e">
        <f>B28*C28</f>
        <v>#N/A</v>
      </c>
    </row>
    <row r="29" spans="1:4" ht="29.4" thickBot="1" x14ac:dyDescent="0.35">
      <c r="A29" s="905" t="s">
        <v>953</v>
      </c>
      <c r="B29" s="904" t="e">
        <f>SUM(B26:B28)</f>
        <v>#N/A</v>
      </c>
      <c r="C29" s="903" t="e">
        <f>D29/B29</f>
        <v>#N/A</v>
      </c>
      <c r="D29" s="902" t="e">
        <f>SUM(D26:D28)</f>
        <v>#N/A</v>
      </c>
    </row>
    <row r="32" spans="1:4" ht="15" thickBot="1" x14ac:dyDescent="0.35">
      <c r="A32" s="13" t="s">
        <v>952</v>
      </c>
    </row>
    <row r="33" spans="1:4" ht="15" thickBot="1" x14ac:dyDescent="0.35">
      <c r="B33" s="901" t="s">
        <v>951</v>
      </c>
      <c r="C33" s="900" t="s">
        <v>950</v>
      </c>
      <c r="D33" s="899" t="s">
        <v>949</v>
      </c>
    </row>
    <row r="34" spans="1:4" x14ac:dyDescent="0.3">
      <c r="A34" s="638" t="s">
        <v>948</v>
      </c>
      <c r="B34" s="898" t="e">
        <f>'Hipóteses xerais (2)'!$F$39</f>
        <v>#N/A</v>
      </c>
      <c r="C34" s="897">
        <f>(12*'Hipóteses xerais (2)'!$F$40)</f>
        <v>0</v>
      </c>
      <c r="D34" s="896" t="e">
        <f>B34*C34</f>
        <v>#N/A</v>
      </c>
    </row>
    <row r="35" spans="1:4" x14ac:dyDescent="0.3">
      <c r="A35" s="895" t="s">
        <v>794</v>
      </c>
      <c r="B35" s="894" t="e">
        <f>'Hipóteses xerais (2)'!$F$39</f>
        <v>#N/A</v>
      </c>
      <c r="C35" s="893" t="e">
        <f>('Hipóteses xerais (2)'!$F$41*12)</f>
        <v>#N/A</v>
      </c>
      <c r="D35" s="892" t="e">
        <f>B35*C35</f>
        <v>#N/A</v>
      </c>
    </row>
    <row r="36" spans="1:4" s="10" customFormat="1" ht="29.4" thickBot="1" x14ac:dyDescent="0.35">
      <c r="A36" s="891" t="s">
        <v>947</v>
      </c>
      <c r="B36" s="890" t="e">
        <f>'Hipóteses xerais (2)'!$F$39</f>
        <v>#N/A</v>
      </c>
      <c r="C36" s="889">
        <f>12*'Hipóteses xerais (2)'!$F$42</f>
        <v>0</v>
      </c>
      <c r="D36" s="888" t="e">
        <f>B36*C36</f>
        <v>#N/A</v>
      </c>
    </row>
    <row r="37" spans="1:4" s="10" customFormat="1" ht="29.4" thickBot="1" x14ac:dyDescent="0.35">
      <c r="A37" s="887" t="s">
        <v>946</v>
      </c>
      <c r="B37" s="886"/>
      <c r="C37" s="885"/>
      <c r="D37" s="884" t="e">
        <f>SUM(D34:D36)</f>
        <v>#N/A</v>
      </c>
    </row>
  </sheetData>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0137-3B97-4559-8B8B-52788C1A60FD}">
  <dimension ref="B2:AC53"/>
  <sheetViews>
    <sheetView topLeftCell="A28" workbookViewId="0">
      <selection activeCell="F72" sqref="F72:AD72"/>
    </sheetView>
  </sheetViews>
  <sheetFormatPr baseColWidth="10" defaultColWidth="11.44140625" defaultRowHeight="14.4" x14ac:dyDescent="0.3"/>
  <cols>
    <col min="2" max="2" width="52.5546875" bestFit="1" customWidth="1"/>
    <col min="3" max="4" width="14.44140625" bestFit="1" customWidth="1"/>
    <col min="5" max="7" width="13" bestFit="1" customWidth="1"/>
    <col min="8" max="28" width="12.5546875" bestFit="1" customWidth="1"/>
    <col min="29" max="29" width="20.44140625" bestFit="1" customWidth="1"/>
  </cols>
  <sheetData>
    <row r="2" spans="2:29" x14ac:dyDescent="0.3">
      <c r="B2" s="13" t="s">
        <v>1026</v>
      </c>
    </row>
    <row r="3" spans="2:29" ht="15" thickBot="1" x14ac:dyDescent="0.35"/>
    <row r="4" spans="2:29" ht="15" thickTop="1" x14ac:dyDescent="0.3">
      <c r="B4" s="555"/>
      <c r="C4" s="702">
        <v>0</v>
      </c>
      <c r="D4" s="702">
        <v>1</v>
      </c>
      <c r="E4" s="702">
        <v>2</v>
      </c>
      <c r="F4" s="702">
        <v>3</v>
      </c>
      <c r="G4" s="702">
        <v>4</v>
      </c>
      <c r="H4" s="702">
        <v>5</v>
      </c>
      <c r="I4" s="702">
        <v>6</v>
      </c>
      <c r="J4" s="702">
        <v>7</v>
      </c>
      <c r="K4" s="702">
        <v>8</v>
      </c>
      <c r="L4" s="702">
        <v>9</v>
      </c>
      <c r="M4" s="702">
        <v>10</v>
      </c>
      <c r="N4" s="702">
        <v>11</v>
      </c>
      <c r="O4" s="702">
        <v>12</v>
      </c>
      <c r="P4" s="702">
        <v>13</v>
      </c>
      <c r="Q4" s="702">
        <v>14</v>
      </c>
      <c r="R4" s="702">
        <v>15</v>
      </c>
      <c r="S4" s="702">
        <v>16</v>
      </c>
      <c r="T4" s="702">
        <v>17</v>
      </c>
      <c r="U4" s="702">
        <v>18</v>
      </c>
      <c r="V4" s="702">
        <v>19</v>
      </c>
      <c r="W4" s="702">
        <v>20</v>
      </c>
      <c r="X4" s="702">
        <v>21</v>
      </c>
      <c r="Y4" s="702">
        <v>22</v>
      </c>
      <c r="Z4" s="702">
        <v>23</v>
      </c>
      <c r="AA4" s="702">
        <v>24</v>
      </c>
      <c r="AB4" s="703">
        <v>25</v>
      </c>
      <c r="AC4" s="1026" t="s">
        <v>1025</v>
      </c>
    </row>
    <row r="5" spans="2:29" ht="15" thickBot="1" x14ac:dyDescent="0.35">
      <c r="B5" s="1025" t="s">
        <v>1024</v>
      </c>
      <c r="C5" s="1024"/>
      <c r="D5" s="1023">
        <f>'Conta explotación'!F$5</f>
        <v>2025</v>
      </c>
      <c r="E5" s="1023">
        <f>'Conta explotación'!G$5</f>
        <v>2026</v>
      </c>
      <c r="F5" s="1023">
        <f>'Conta explotación'!H$5</f>
        <v>2027</v>
      </c>
      <c r="G5" s="1023">
        <f>'Conta explotación'!I$5</f>
        <v>2028</v>
      </c>
      <c r="H5" s="1023">
        <f>'Conta explotación'!J$5</f>
        <v>2029</v>
      </c>
      <c r="I5" s="1023">
        <f>'Conta explotación'!K$5</f>
        <v>2030</v>
      </c>
      <c r="J5" s="1023">
        <f>'Conta explotación'!L$5</f>
        <v>2031</v>
      </c>
      <c r="K5" s="1023">
        <f>'Conta explotación'!M$5</f>
        <v>2032</v>
      </c>
      <c r="L5" s="1023">
        <f>'Conta explotación'!N$5</f>
        <v>2033</v>
      </c>
      <c r="M5" s="1023">
        <f>'Conta explotación'!O$5</f>
        <v>2034</v>
      </c>
      <c r="N5" s="1023">
        <f>'Conta explotación'!P$5</f>
        <v>2035</v>
      </c>
      <c r="O5" s="1023">
        <f>'Conta explotación'!Q$5</f>
        <v>2036</v>
      </c>
      <c r="P5" s="1023">
        <f>'Conta explotación'!R$5</f>
        <v>2037</v>
      </c>
      <c r="Q5" s="1023">
        <f>'Conta explotación'!S$5</f>
        <v>2038</v>
      </c>
      <c r="R5" s="1023">
        <f>'Conta explotación'!T$5</f>
        <v>2039</v>
      </c>
      <c r="S5" s="1023">
        <f>'Conta explotación'!U$5</f>
        <v>2040</v>
      </c>
      <c r="T5" s="1023">
        <f>'Conta explotación'!V$5</f>
        <v>2041</v>
      </c>
      <c r="U5" s="1023">
        <f>'Conta explotación'!W$5</f>
        <v>2042</v>
      </c>
      <c r="V5" s="1023">
        <f>'Conta explotación'!X$5</f>
        <v>2043</v>
      </c>
      <c r="W5" s="1023">
        <f>'Conta explotación'!Y$5</f>
        <v>2044</v>
      </c>
      <c r="X5" s="1023">
        <f>'Conta explotación'!Z$5</f>
        <v>2045</v>
      </c>
      <c r="Y5" s="1023">
        <f>'Conta explotación'!AA$5</f>
        <v>2046</v>
      </c>
      <c r="Z5" s="1023">
        <f>'Conta explotación'!AB$5</f>
        <v>2047</v>
      </c>
      <c r="AA5" s="1023">
        <f>'Conta explotación'!AC$5</f>
        <v>2048</v>
      </c>
      <c r="AB5" s="1022">
        <f>'Conta explotación'!AD$5</f>
        <v>2049</v>
      </c>
      <c r="AC5" s="1021" t="s">
        <v>1023</v>
      </c>
    </row>
    <row r="6" spans="2:29" ht="15.6" thickTop="1" thickBot="1" x14ac:dyDescent="0.35">
      <c r="B6" s="1020" t="s">
        <v>1022</v>
      </c>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1019"/>
    </row>
    <row r="7" spans="2:29" x14ac:dyDescent="0.3">
      <c r="B7" s="1018" t="s">
        <v>1021</v>
      </c>
      <c r="C7" s="1013"/>
      <c r="D7" s="1013" t="e">
        <f>'Conta explotación'!F51</f>
        <v>#N/A</v>
      </c>
      <c r="E7" s="1013" t="e">
        <f>'Conta explotación'!G51</f>
        <v>#N/A</v>
      </c>
      <c r="F7" s="1013" t="e">
        <f>'Conta explotación'!H51</f>
        <v>#N/A</v>
      </c>
      <c r="G7" s="1013" t="e">
        <f>'Conta explotación'!I51</f>
        <v>#N/A</v>
      </c>
      <c r="H7" s="1013" t="e">
        <f>'Conta explotación'!J51</f>
        <v>#N/A</v>
      </c>
      <c r="I7" s="1013" t="e">
        <f>'Conta explotación'!K51</f>
        <v>#N/A</v>
      </c>
      <c r="J7" s="1013" t="e">
        <f>'Conta explotación'!L51</f>
        <v>#N/A</v>
      </c>
      <c r="K7" s="1013" t="e">
        <f>'Conta explotación'!M51</f>
        <v>#N/A</v>
      </c>
      <c r="L7" s="1013" t="e">
        <f>'Conta explotación'!N51</f>
        <v>#N/A</v>
      </c>
      <c r="M7" s="1013" t="e">
        <f>'Conta explotación'!O51</f>
        <v>#N/A</v>
      </c>
      <c r="N7" s="1013" t="e">
        <f>'Conta explotación'!P51</f>
        <v>#N/A</v>
      </c>
      <c r="O7" s="1013" t="e">
        <f>'Conta explotación'!Q51</f>
        <v>#N/A</v>
      </c>
      <c r="P7" s="1013" t="e">
        <f>'Conta explotación'!R51</f>
        <v>#N/A</v>
      </c>
      <c r="Q7" s="1013" t="e">
        <f>'Conta explotación'!S51</f>
        <v>#N/A</v>
      </c>
      <c r="R7" s="1013" t="e">
        <f>'Conta explotación'!T51</f>
        <v>#N/A</v>
      </c>
      <c r="S7" s="1013" t="e">
        <f>'Conta explotación'!U51</f>
        <v>#N/A</v>
      </c>
      <c r="T7" s="1013" t="e">
        <f>'Conta explotación'!V51</f>
        <v>#N/A</v>
      </c>
      <c r="U7" s="1013" t="e">
        <f>'Conta explotación'!W51</f>
        <v>#N/A</v>
      </c>
      <c r="V7" s="1013" t="e">
        <f>'Conta explotación'!X51</f>
        <v>#N/A</v>
      </c>
      <c r="W7" s="1013" t="e">
        <f>'Conta explotación'!Y51</f>
        <v>#N/A</v>
      </c>
      <c r="X7" s="1013" t="e">
        <f>'Conta explotación'!Z51</f>
        <v>#N/A</v>
      </c>
      <c r="Y7" s="1013" t="e">
        <f>'Conta explotación'!AA51</f>
        <v>#N/A</v>
      </c>
      <c r="Z7" s="1013" t="e">
        <f>'Conta explotación'!AB51</f>
        <v>#N/A</v>
      </c>
      <c r="AA7" s="1013" t="e">
        <f>'Conta explotación'!AC51</f>
        <v>#N/A</v>
      </c>
      <c r="AB7" s="1012" t="e">
        <f>'Conta explotación'!AD51</f>
        <v>#N/A</v>
      </c>
      <c r="AC7" s="1005" t="e">
        <f t="shared" ref="AC7:AC15" si="0">SUM(C7:AB7)</f>
        <v>#N/A</v>
      </c>
    </row>
    <row r="8" spans="2:29" x14ac:dyDescent="0.3">
      <c r="B8" s="1017" t="s">
        <v>1020</v>
      </c>
      <c r="C8" s="1013"/>
      <c r="D8" s="1013" t="e">
        <f>IF($E$40="Non",(-('Conta explotación'!F6+'Conta explotación'!F7)),0)</f>
        <v>#N/A</v>
      </c>
      <c r="E8" s="1013" t="e">
        <f>IF($E$40="Non",(-('Conta explotación'!G6+'Conta explotación'!G7)),0)</f>
        <v>#N/A</v>
      </c>
      <c r="F8" s="1013" t="e">
        <f>IF($E$40="Non",(-('Conta explotación'!H6+'Conta explotación'!H7)),0)</f>
        <v>#N/A</v>
      </c>
      <c r="G8" s="1013" t="e">
        <f>IF($E$40="Non",(-('Conta explotación'!I6+'Conta explotación'!I7)),0)</f>
        <v>#N/A</v>
      </c>
      <c r="H8" s="1013" t="e">
        <f>IF($E$40="Non",(-('Conta explotación'!J6+'Conta explotación'!J7)),0)</f>
        <v>#N/A</v>
      </c>
      <c r="I8" s="1013" t="e">
        <f>IF($E$40="Non",(-('Conta explotación'!K6+'Conta explotación'!K7)),0)</f>
        <v>#N/A</v>
      </c>
      <c r="J8" s="1013" t="e">
        <f>IF($E$40="Non",(-('Conta explotación'!L6+'Conta explotación'!L7)),0)</f>
        <v>#N/A</v>
      </c>
      <c r="K8" s="1013" t="e">
        <f>IF($E$40="Non",(-('Conta explotación'!M6+'Conta explotación'!M7)),0)</f>
        <v>#N/A</v>
      </c>
      <c r="L8" s="1013" t="e">
        <f>IF($E$40="Non",(-('Conta explotación'!N6+'Conta explotación'!N7)),0)</f>
        <v>#N/A</v>
      </c>
      <c r="M8" s="1013" t="e">
        <f>IF($E$40="Non",(-('Conta explotación'!O6+'Conta explotación'!O7)),0)</f>
        <v>#N/A</v>
      </c>
      <c r="N8" s="1013" t="e">
        <f>IF($E$40="Non",(-('Conta explotación'!P6+'Conta explotación'!P7)),0)</f>
        <v>#N/A</v>
      </c>
      <c r="O8" s="1013" t="e">
        <f>IF($E$40="Non",(-('Conta explotación'!Q6+'Conta explotación'!Q7)),0)</f>
        <v>#N/A</v>
      </c>
      <c r="P8" s="1013" t="e">
        <f>IF($E$40="Non",(-('Conta explotación'!R6+'Conta explotación'!R7)),0)</f>
        <v>#N/A</v>
      </c>
      <c r="Q8" s="1013" t="e">
        <f>IF($E$40="Non",(-('Conta explotación'!S6+'Conta explotación'!S7)),0)</f>
        <v>#N/A</v>
      </c>
      <c r="R8" s="1013" t="e">
        <f>IF($E$40="Non",(-('Conta explotación'!T6+'Conta explotación'!T7)),0)</f>
        <v>#N/A</v>
      </c>
      <c r="S8" s="1013" t="e">
        <f>IF($E$40="Non",(-('Conta explotación'!U6+'Conta explotación'!U7)),0)</f>
        <v>#N/A</v>
      </c>
      <c r="T8" s="1013" t="e">
        <f>IF($E$40="Non",(-('Conta explotación'!V6+'Conta explotación'!V7)),0)</f>
        <v>#N/A</v>
      </c>
      <c r="U8" s="1013" t="e">
        <f>IF($E$40="Non",(-('Conta explotación'!W6+'Conta explotación'!W7)),0)</f>
        <v>#N/A</v>
      </c>
      <c r="V8" s="1013" t="e">
        <f>IF($E$40="Non",(-('Conta explotación'!X6+'Conta explotación'!X7)),0)</f>
        <v>#N/A</v>
      </c>
      <c r="W8" s="1013" t="e">
        <f>IF($E$40="Non",(-('Conta explotación'!Y6+'Conta explotación'!Y7)),0)</f>
        <v>#N/A</v>
      </c>
      <c r="X8" s="1013" t="e">
        <f>IF($E$40="Non",(-('Conta explotación'!Z6+'Conta explotación'!Z7)),0)</f>
        <v>#N/A</v>
      </c>
      <c r="Y8" s="1013" t="e">
        <f>IF($E$40="Non",(-('Conta explotación'!AA6+'Conta explotación'!AA7)),0)</f>
        <v>#N/A</v>
      </c>
      <c r="Z8" s="1013" t="e">
        <f>IF($E$40="Non",(-('Conta explotación'!AB6+'Conta explotación'!AB7)),0)</f>
        <v>#N/A</v>
      </c>
      <c r="AA8" s="1013" t="e">
        <f>IF($E$40="Non",(-('Conta explotación'!AC6+'Conta explotación'!AC7)),0)</f>
        <v>#N/A</v>
      </c>
      <c r="AB8" s="1012" t="e">
        <f>IF($E$40="Non",(-('Conta explotación'!AD6+'Conta explotación'!AD7)),0)</f>
        <v>#N/A</v>
      </c>
      <c r="AC8" s="1005" t="e">
        <f t="shared" si="0"/>
        <v>#N/A</v>
      </c>
    </row>
    <row r="9" spans="2:29" x14ac:dyDescent="0.3">
      <c r="B9" s="1015" t="s">
        <v>1019</v>
      </c>
      <c r="C9" s="1013"/>
      <c r="D9" s="1013" t="e">
        <f>'Conta explotación'!F$44</f>
        <v>#N/A</v>
      </c>
      <c r="E9" s="1013" t="e">
        <f>'Conta explotación'!G44</f>
        <v>#N/A</v>
      </c>
      <c r="F9" s="1013" t="e">
        <f>'Conta explotación'!H44</f>
        <v>#N/A</v>
      </c>
      <c r="G9" s="1013" t="e">
        <f>'Conta explotación'!I44</f>
        <v>#N/A</v>
      </c>
      <c r="H9" s="1013" t="e">
        <f>'Conta explotación'!J44</f>
        <v>#N/A</v>
      </c>
      <c r="I9" s="1013" t="e">
        <f>'Conta explotación'!K44</f>
        <v>#N/A</v>
      </c>
      <c r="J9" s="1013" t="e">
        <f>'Conta explotación'!L44</f>
        <v>#N/A</v>
      </c>
      <c r="K9" s="1013" t="e">
        <f>'Conta explotación'!M44</f>
        <v>#N/A</v>
      </c>
      <c r="L9" s="1013" t="e">
        <f>'Conta explotación'!N44</f>
        <v>#N/A</v>
      </c>
      <c r="M9" s="1013" t="e">
        <f>'Conta explotación'!O44</f>
        <v>#N/A</v>
      </c>
      <c r="N9" s="1013" t="e">
        <f>'Conta explotación'!P44</f>
        <v>#N/A</v>
      </c>
      <c r="O9" s="1013" t="e">
        <f>'Conta explotación'!Q44</f>
        <v>#N/A</v>
      </c>
      <c r="P9" s="1013" t="e">
        <f>'Conta explotación'!R44</f>
        <v>#N/A</v>
      </c>
      <c r="Q9" s="1013" t="e">
        <f>'Conta explotación'!S44</f>
        <v>#N/A</v>
      </c>
      <c r="R9" s="1013" t="e">
        <f>'Conta explotación'!T44</f>
        <v>#N/A</v>
      </c>
      <c r="S9" s="1013" t="e">
        <f>'Conta explotación'!U44</f>
        <v>#N/A</v>
      </c>
      <c r="T9" s="1013" t="e">
        <f>'Conta explotación'!V44</f>
        <v>#N/A</v>
      </c>
      <c r="U9" s="1013" t="e">
        <f>'Conta explotación'!W44</f>
        <v>#N/A</v>
      </c>
      <c r="V9" s="1013" t="e">
        <f>'Conta explotación'!X44</f>
        <v>#N/A</v>
      </c>
      <c r="W9" s="1013" t="e">
        <f>'Conta explotación'!Y44</f>
        <v>#N/A</v>
      </c>
      <c r="X9" s="1013" t="e">
        <f>'Conta explotación'!Z44</f>
        <v>#N/A</v>
      </c>
      <c r="Y9" s="1013" t="e">
        <f>'Conta explotación'!AA44</f>
        <v>#N/A</v>
      </c>
      <c r="Z9" s="1013" t="e">
        <f>'Conta explotación'!AB44</f>
        <v>#N/A</v>
      </c>
      <c r="AA9" s="1013" t="e">
        <f>'Conta explotación'!AC44</f>
        <v>#N/A</v>
      </c>
      <c r="AB9" s="1012" t="e">
        <f>'Conta explotación'!AD44</f>
        <v>#N/A</v>
      </c>
      <c r="AC9" s="1003" t="e">
        <f t="shared" si="0"/>
        <v>#N/A</v>
      </c>
    </row>
    <row r="10" spans="2:29" ht="28.8" x14ac:dyDescent="0.3">
      <c r="B10" s="1016" t="s">
        <v>1018</v>
      </c>
      <c r="C10" s="1013"/>
      <c r="D10" s="1013" t="e">
        <f>'Conta explotación'!F40/12</f>
        <v>#N/A</v>
      </c>
      <c r="E10" s="1013" t="e">
        <f>('Conta explotación'!G40/12)-D10</f>
        <v>#N/A</v>
      </c>
      <c r="F10" s="1013" t="e">
        <f>('Conta explotación'!H40/12)-(D10+E10)</f>
        <v>#N/A</v>
      </c>
      <c r="G10" s="1013" t="e">
        <f>('Conta explotación'!I40/12)-(D10+E10+F10)</f>
        <v>#N/A</v>
      </c>
      <c r="H10" s="1013" t="e">
        <f>('Conta explotación'!J40/12)-(SUM(D10:G10))</f>
        <v>#N/A</v>
      </c>
      <c r="I10" s="1013" t="e">
        <f>('Conta explotación'!K40/12)-SUM(D10:H10)</f>
        <v>#N/A</v>
      </c>
      <c r="J10" s="1013" t="e">
        <f>(('Conta explotación'!L40/12)-SUM(D10:I10))</f>
        <v>#N/A</v>
      </c>
      <c r="K10" s="1013" t="e">
        <f>('Conta explotación'!M40/12)-SUM(D10:J10)</f>
        <v>#N/A</v>
      </c>
      <c r="L10" s="1013" t="e">
        <f>('Conta explotación'!N40/12)-SUM(D10:K10)</f>
        <v>#N/A</v>
      </c>
      <c r="M10" s="1013" t="e">
        <f>(('Conta explotación'!O40/12)-SUM(D10:L10))</f>
        <v>#N/A</v>
      </c>
      <c r="N10" s="1013" t="e">
        <f>('Conta explotación'!P40/12)-SUM(D10:M10)</f>
        <v>#N/A</v>
      </c>
      <c r="O10" s="1013" t="e">
        <f>('Conta explotación'!Q40/12)-SUM(D10:N10)</f>
        <v>#N/A</v>
      </c>
      <c r="P10" s="1013" t="e">
        <f>('Conta explotación'!R40/12)-SUM(D10:O10)</f>
        <v>#N/A</v>
      </c>
      <c r="Q10" s="1013" t="e">
        <f>('Conta explotación'!S40/12)-SUM(D10:P10)</f>
        <v>#N/A</v>
      </c>
      <c r="R10" s="1013" t="e">
        <f>('Conta explotación'!T40/12)-SUM(D10:Q10)</f>
        <v>#N/A</v>
      </c>
      <c r="S10" s="1013" t="e">
        <f>('Conta explotación'!U40/12)-SUM(D10:R10)</f>
        <v>#N/A</v>
      </c>
      <c r="T10" s="1013" t="e">
        <f>('Conta explotación'!V40/12)-SUM(D10:S10)</f>
        <v>#N/A</v>
      </c>
      <c r="U10" s="1013" t="e">
        <f>('Conta explotación'!W40/12)-SUM(D10:T10)</f>
        <v>#N/A</v>
      </c>
      <c r="V10" s="1013" t="e">
        <f>('Conta explotación'!X40/12)-SUM(D10:U10)</f>
        <v>#N/A</v>
      </c>
      <c r="W10" s="1013" t="e">
        <f>('Conta explotación'!Y40/12)-SUM(D10:V10)</f>
        <v>#N/A</v>
      </c>
      <c r="X10" s="1013" t="e">
        <f>('Conta explotación'!Z40/12)-SUM(D10:W10)</f>
        <v>#N/A</v>
      </c>
      <c r="Y10" s="1013" t="e">
        <f>('Conta explotación'!AA40/12)-SUM(D10:X10)</f>
        <v>#N/A</v>
      </c>
      <c r="Z10" s="1013" t="e">
        <f>('Conta explotación'!AB40/12)-SUM(D10:Y10)</f>
        <v>#N/A</v>
      </c>
      <c r="AA10" s="1013" t="e">
        <f>('Conta explotación'!AC40/12)-SUM(D10:Z10)</f>
        <v>#N/A</v>
      </c>
      <c r="AB10" s="1012" t="e">
        <f>-SUM(D10:AA10)</f>
        <v>#N/A</v>
      </c>
      <c r="AC10" s="1003" t="e">
        <f t="shared" si="0"/>
        <v>#N/A</v>
      </c>
    </row>
    <row r="11" spans="2:29" x14ac:dyDescent="0.3">
      <c r="B11" s="1016" t="s">
        <v>1017</v>
      </c>
      <c r="C11" s="1013"/>
      <c r="D11" s="1013" t="e">
        <f>-('Conta explotación'!F14)</f>
        <v>#N/A</v>
      </c>
      <c r="E11" s="1013" t="e">
        <f>-('Conta explotación'!G14)</f>
        <v>#N/A</v>
      </c>
      <c r="F11" s="1013" t="e">
        <f>-('Conta explotación'!H14)</f>
        <v>#N/A</v>
      </c>
      <c r="G11" s="1013" t="e">
        <f>-('Conta explotación'!I14)</f>
        <v>#N/A</v>
      </c>
      <c r="H11" s="1013" t="e">
        <f>-('Conta explotación'!J14)</f>
        <v>#N/A</v>
      </c>
      <c r="I11" s="1013" t="e">
        <f>-('Conta explotación'!K14)</f>
        <v>#N/A</v>
      </c>
      <c r="J11" s="1013" t="e">
        <f>-('Conta explotación'!L14)</f>
        <v>#N/A</v>
      </c>
      <c r="K11" s="1013" t="e">
        <f>-('Conta explotación'!M14)</f>
        <v>#N/A</v>
      </c>
      <c r="L11" s="1013" t="e">
        <f>-('Conta explotación'!N14)</f>
        <v>#N/A</v>
      </c>
      <c r="M11" s="1013" t="e">
        <f>-('Conta explotación'!O14)</f>
        <v>#N/A</v>
      </c>
      <c r="N11" s="1013" t="e">
        <f>-('Conta explotación'!P14)</f>
        <v>#N/A</v>
      </c>
      <c r="O11" s="1013" t="e">
        <f>-('Conta explotación'!Q14)</f>
        <v>#N/A</v>
      </c>
      <c r="P11" s="1013" t="e">
        <f>-('Conta explotación'!R14)</f>
        <v>#N/A</v>
      </c>
      <c r="Q11" s="1013" t="e">
        <f>-('Conta explotación'!S14)</f>
        <v>#N/A</v>
      </c>
      <c r="R11" s="1013" t="e">
        <f>-('Conta explotación'!T14)</f>
        <v>#N/A</v>
      </c>
      <c r="S11" s="1013" t="e">
        <f>-('Conta explotación'!U14)</f>
        <v>#N/A</v>
      </c>
      <c r="T11" s="1013" t="e">
        <f>-('Conta explotación'!V14)</f>
        <v>#N/A</v>
      </c>
      <c r="U11" s="1013" t="e">
        <f>-('Conta explotación'!W14)</f>
        <v>#N/A</v>
      </c>
      <c r="V11" s="1013" t="e">
        <f>-('Conta explotación'!X14)</f>
        <v>#N/A</v>
      </c>
      <c r="W11" s="1013" t="e">
        <f>-('Conta explotación'!Y14)</f>
        <v>#N/A</v>
      </c>
      <c r="X11" s="1013" t="e">
        <f>-('Conta explotación'!Z14)</f>
        <v>#N/A</v>
      </c>
      <c r="Y11" s="1013" t="e">
        <f>-('Conta explotación'!AA14)</f>
        <v>#N/A</v>
      </c>
      <c r="Z11" s="1013" t="e">
        <f>-('Conta explotación'!AB14)</f>
        <v>#N/A</v>
      </c>
      <c r="AA11" s="1013" t="e">
        <f>-('Conta explotación'!AC14)</f>
        <v>#N/A</v>
      </c>
      <c r="AB11" s="1013" t="e">
        <f>-('Conta explotación'!AD14)</f>
        <v>#N/A</v>
      </c>
      <c r="AC11" s="1003" t="e">
        <f t="shared" si="0"/>
        <v>#N/A</v>
      </c>
    </row>
    <row r="12" spans="2:29" x14ac:dyDescent="0.3">
      <c r="B12" s="1016" t="s">
        <v>1016</v>
      </c>
      <c r="C12" s="1013"/>
      <c r="D12" s="1013">
        <f>-'Conta explotación'!F48</f>
        <v>0</v>
      </c>
      <c r="E12" s="1013">
        <f>-'Conta explotación'!G48</f>
        <v>0</v>
      </c>
      <c r="F12" s="1013">
        <f>-'Conta explotación'!H48</f>
        <v>0</v>
      </c>
      <c r="G12" s="1013">
        <f>-'Conta explotación'!I48</f>
        <v>0</v>
      </c>
      <c r="H12" s="1013">
        <f>-'Conta explotación'!J48</f>
        <v>0</v>
      </c>
      <c r="I12" s="1013">
        <f>-'Conta explotación'!K48</f>
        <v>0</v>
      </c>
      <c r="J12" s="1013">
        <f>-'Conta explotación'!L48</f>
        <v>0</v>
      </c>
      <c r="K12" s="1013">
        <f>-'Conta explotación'!M48</f>
        <v>0</v>
      </c>
      <c r="L12" s="1013">
        <f>-'Conta explotación'!N48</f>
        <v>0</v>
      </c>
      <c r="M12" s="1013">
        <f>-'Conta explotación'!O48</f>
        <v>0</v>
      </c>
      <c r="N12" s="1013">
        <f>-'Conta explotación'!P48</f>
        <v>0</v>
      </c>
      <c r="O12" s="1013">
        <f>-'Conta explotación'!Q48</f>
        <v>0</v>
      </c>
      <c r="P12" s="1013">
        <f>-'Conta explotación'!R48</f>
        <v>0</v>
      </c>
      <c r="Q12" s="1013">
        <f>-'Conta explotación'!S48</f>
        <v>0</v>
      </c>
      <c r="R12" s="1013">
        <f>-'Conta explotación'!T48</f>
        <v>0</v>
      </c>
      <c r="S12" s="1013">
        <f>-'Conta explotación'!U48</f>
        <v>0</v>
      </c>
      <c r="T12" s="1013">
        <f>-'Conta explotación'!V48</f>
        <v>0</v>
      </c>
      <c r="U12" s="1013">
        <f>-'Conta explotación'!W48</f>
        <v>0</v>
      </c>
      <c r="V12" s="1013">
        <f>-'Conta explotación'!X48</f>
        <v>0</v>
      </c>
      <c r="W12" s="1013">
        <f>-'Conta explotación'!Y48</f>
        <v>0</v>
      </c>
      <c r="X12" s="1013">
        <f>-'Conta explotación'!Z48</f>
        <v>0</v>
      </c>
      <c r="Y12" s="1013">
        <f>-'Conta explotación'!AA48</f>
        <v>0</v>
      </c>
      <c r="Z12" s="1013">
        <f>-'Conta explotación'!AB48</f>
        <v>0</v>
      </c>
      <c r="AA12" s="1013">
        <f>-'Conta explotación'!AC48</f>
        <v>0</v>
      </c>
      <c r="AB12" s="1013">
        <f>-'Conta explotación'!AD48</f>
        <v>0</v>
      </c>
      <c r="AC12" s="1003">
        <f t="shared" si="0"/>
        <v>0</v>
      </c>
    </row>
    <row r="13" spans="2:29" x14ac:dyDescent="0.3">
      <c r="B13" s="1015" t="s">
        <v>1015</v>
      </c>
      <c r="C13" s="1013"/>
      <c r="D13" s="1013">
        <f>'Conta explotación'!F49</f>
        <v>0</v>
      </c>
      <c r="E13" s="1013">
        <f>'Conta explotación'!G49</f>
        <v>0</v>
      </c>
      <c r="F13" s="1013">
        <f>'Conta explotación'!H49</f>
        <v>0</v>
      </c>
      <c r="G13" s="1013">
        <f>'Conta explotación'!I49</f>
        <v>0</v>
      </c>
      <c r="H13" s="1013">
        <f>'Conta explotación'!J49</f>
        <v>0</v>
      </c>
      <c r="I13" s="1013">
        <f>'Conta explotación'!K49</f>
        <v>0</v>
      </c>
      <c r="J13" s="1013">
        <f>'Conta explotación'!L49</f>
        <v>0</v>
      </c>
      <c r="K13" s="1013">
        <f>'Conta explotación'!M49</f>
        <v>0</v>
      </c>
      <c r="L13" s="1013">
        <f>'Conta explotación'!N49</f>
        <v>0</v>
      </c>
      <c r="M13" s="1013">
        <f>'Conta explotación'!O49</f>
        <v>0</v>
      </c>
      <c r="N13" s="1013">
        <f>'Conta explotación'!P49</f>
        <v>0</v>
      </c>
      <c r="O13" s="1013">
        <f>'Conta explotación'!Q49</f>
        <v>0</v>
      </c>
      <c r="P13" s="1013">
        <f>'Conta explotación'!R49</f>
        <v>0</v>
      </c>
      <c r="Q13" s="1013">
        <f>'Conta explotación'!S49</f>
        <v>0</v>
      </c>
      <c r="R13" s="1013">
        <f>'Conta explotación'!T49</f>
        <v>0</v>
      </c>
      <c r="S13" s="1013">
        <f>'Conta explotación'!U49</f>
        <v>0</v>
      </c>
      <c r="T13" s="1013">
        <f>'Conta explotación'!V49</f>
        <v>0</v>
      </c>
      <c r="U13" s="1013">
        <f>'Conta explotación'!W49</f>
        <v>0</v>
      </c>
      <c r="V13" s="1013">
        <f>'Conta explotación'!X49</f>
        <v>0</v>
      </c>
      <c r="W13" s="1013">
        <f>'Conta explotación'!Y49</f>
        <v>0</v>
      </c>
      <c r="X13" s="1013">
        <f>'Conta explotación'!Z49</f>
        <v>0</v>
      </c>
      <c r="Y13" s="1013">
        <f>'Conta explotación'!AA49</f>
        <v>0</v>
      </c>
      <c r="Z13" s="1013">
        <f>'Conta explotación'!AB49</f>
        <v>0</v>
      </c>
      <c r="AA13" s="1013">
        <f>'Conta explotación'!AC49</f>
        <v>0</v>
      </c>
      <c r="AB13" s="1013">
        <f>'Conta explotación'!AD49</f>
        <v>0</v>
      </c>
      <c r="AC13" s="1003">
        <f t="shared" si="0"/>
        <v>0</v>
      </c>
    </row>
    <row r="14" spans="2:29" ht="29.4" thickBot="1" x14ac:dyDescent="0.35">
      <c r="B14" s="1014" t="s">
        <v>1014</v>
      </c>
      <c r="C14" s="1013"/>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1012"/>
      <c r="AC14" s="1011">
        <f t="shared" si="0"/>
        <v>0</v>
      </c>
    </row>
    <row r="15" spans="2:29" ht="30" thickTop="1" thickBot="1" x14ac:dyDescent="0.35">
      <c r="B15" s="1010" t="s">
        <v>1013</v>
      </c>
      <c r="C15" s="1009">
        <f t="shared" ref="C15:AB15" si="1">SUM(C7:C14)</f>
        <v>0</v>
      </c>
      <c r="D15" s="1009" t="e">
        <f t="shared" si="1"/>
        <v>#N/A</v>
      </c>
      <c r="E15" s="1009" t="e">
        <f t="shared" si="1"/>
        <v>#N/A</v>
      </c>
      <c r="F15" s="1009" t="e">
        <f t="shared" si="1"/>
        <v>#N/A</v>
      </c>
      <c r="G15" s="1009" t="e">
        <f t="shared" si="1"/>
        <v>#N/A</v>
      </c>
      <c r="H15" s="1009" t="e">
        <f t="shared" si="1"/>
        <v>#N/A</v>
      </c>
      <c r="I15" s="1009" t="e">
        <f t="shared" si="1"/>
        <v>#N/A</v>
      </c>
      <c r="J15" s="1009" t="e">
        <f t="shared" si="1"/>
        <v>#N/A</v>
      </c>
      <c r="K15" s="1009" t="e">
        <f t="shared" si="1"/>
        <v>#N/A</v>
      </c>
      <c r="L15" s="1009" t="e">
        <f t="shared" si="1"/>
        <v>#N/A</v>
      </c>
      <c r="M15" s="1009" t="e">
        <f t="shared" si="1"/>
        <v>#N/A</v>
      </c>
      <c r="N15" s="1009" t="e">
        <f t="shared" si="1"/>
        <v>#N/A</v>
      </c>
      <c r="O15" s="1009" t="e">
        <f t="shared" si="1"/>
        <v>#N/A</v>
      </c>
      <c r="P15" s="1009" t="e">
        <f t="shared" si="1"/>
        <v>#N/A</v>
      </c>
      <c r="Q15" s="1009" t="e">
        <f t="shared" si="1"/>
        <v>#N/A</v>
      </c>
      <c r="R15" s="1009" t="e">
        <f t="shared" si="1"/>
        <v>#N/A</v>
      </c>
      <c r="S15" s="1009" t="e">
        <f t="shared" si="1"/>
        <v>#N/A</v>
      </c>
      <c r="T15" s="1009" t="e">
        <f t="shared" si="1"/>
        <v>#N/A</v>
      </c>
      <c r="U15" s="1009" t="e">
        <f t="shared" si="1"/>
        <v>#N/A</v>
      </c>
      <c r="V15" s="1009" t="e">
        <f t="shared" si="1"/>
        <v>#N/A</v>
      </c>
      <c r="W15" s="1009" t="e">
        <f t="shared" si="1"/>
        <v>#N/A</v>
      </c>
      <c r="X15" s="1009" t="e">
        <f t="shared" si="1"/>
        <v>#N/A</v>
      </c>
      <c r="Y15" s="1009" t="e">
        <f t="shared" si="1"/>
        <v>#N/A</v>
      </c>
      <c r="Z15" s="1009" t="e">
        <f t="shared" si="1"/>
        <v>#N/A</v>
      </c>
      <c r="AA15" s="1009" t="e">
        <f t="shared" si="1"/>
        <v>#N/A</v>
      </c>
      <c r="AB15" s="1009" t="e">
        <f t="shared" si="1"/>
        <v>#N/A</v>
      </c>
      <c r="AC15" s="1008" t="e">
        <f t="shared" si="0"/>
        <v>#N/A</v>
      </c>
    </row>
    <row r="16" spans="2:29" ht="15.6" thickTop="1" thickBot="1" x14ac:dyDescent="0.35">
      <c r="B16" s="1007" t="s">
        <v>1012</v>
      </c>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8"/>
    </row>
    <row r="17" spans="2:29" x14ac:dyDescent="0.3">
      <c r="B17" s="1006" t="s">
        <v>1011</v>
      </c>
      <c r="C17" s="992" t="e">
        <f>-('Hipóteses xerais (2)'!$C$21)</f>
        <v>#N/A</v>
      </c>
      <c r="D17" s="992"/>
      <c r="E17" s="992"/>
      <c r="F17" s="992"/>
      <c r="G17" s="992"/>
      <c r="H17" s="992"/>
      <c r="I17" s="992"/>
      <c r="J17" s="992"/>
      <c r="K17" s="992"/>
      <c r="L17" s="992"/>
      <c r="N17" s="992"/>
      <c r="O17" s="992"/>
      <c r="P17" s="992"/>
      <c r="Q17" s="992"/>
      <c r="R17" s="992">
        <f>-'Hipóteses xerais (2)'!$C$76</f>
        <v>-14000</v>
      </c>
      <c r="S17" s="992"/>
      <c r="T17" s="992"/>
      <c r="U17" s="992"/>
      <c r="V17" s="992"/>
      <c r="W17" s="992"/>
      <c r="X17" s="992"/>
      <c r="Y17" s="992"/>
      <c r="Z17" s="992"/>
      <c r="AA17" s="992"/>
      <c r="AB17" s="992"/>
      <c r="AC17" s="1005" t="e">
        <f>SUM(C17:AB17)</f>
        <v>#N/A</v>
      </c>
    </row>
    <row r="18" spans="2:29" ht="15" thickBot="1" x14ac:dyDescent="0.35">
      <c r="B18" s="1004" t="s">
        <v>1010</v>
      </c>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1003">
        <f>SUM(C18:AB18)</f>
        <v>0</v>
      </c>
    </row>
    <row r="19" spans="2:29" ht="15.6" thickTop="1" thickBot="1" x14ac:dyDescent="0.35">
      <c r="B19" s="1002" t="s">
        <v>1009</v>
      </c>
      <c r="C19" s="1001" t="e">
        <f t="shared" ref="C19:AB19" si="2">SUM(C17:C18)</f>
        <v>#N/A</v>
      </c>
      <c r="D19" s="1001">
        <f t="shared" si="2"/>
        <v>0</v>
      </c>
      <c r="E19" s="1001">
        <f t="shared" si="2"/>
        <v>0</v>
      </c>
      <c r="F19" s="1001">
        <f t="shared" si="2"/>
        <v>0</v>
      </c>
      <c r="G19" s="1001">
        <f t="shared" si="2"/>
        <v>0</v>
      </c>
      <c r="H19" s="1001">
        <f t="shared" si="2"/>
        <v>0</v>
      </c>
      <c r="I19" s="1001">
        <f t="shared" si="2"/>
        <v>0</v>
      </c>
      <c r="J19" s="1001">
        <f t="shared" si="2"/>
        <v>0</v>
      </c>
      <c r="K19" s="1001">
        <f t="shared" si="2"/>
        <v>0</v>
      </c>
      <c r="L19" s="1001">
        <f t="shared" si="2"/>
        <v>0</v>
      </c>
      <c r="M19" s="1001">
        <f t="shared" si="2"/>
        <v>0</v>
      </c>
      <c r="N19" s="1001">
        <f t="shared" si="2"/>
        <v>0</v>
      </c>
      <c r="O19" s="1001">
        <f t="shared" si="2"/>
        <v>0</v>
      </c>
      <c r="P19" s="1001">
        <f t="shared" si="2"/>
        <v>0</v>
      </c>
      <c r="Q19" s="1001">
        <f t="shared" si="2"/>
        <v>0</v>
      </c>
      <c r="R19" s="1001">
        <f t="shared" si="2"/>
        <v>-14000</v>
      </c>
      <c r="S19" s="1001">
        <f t="shared" si="2"/>
        <v>0</v>
      </c>
      <c r="T19" s="1001">
        <f t="shared" si="2"/>
        <v>0</v>
      </c>
      <c r="U19" s="1001">
        <f t="shared" si="2"/>
        <v>0</v>
      </c>
      <c r="V19" s="1001">
        <f t="shared" si="2"/>
        <v>0</v>
      </c>
      <c r="W19" s="1001">
        <f t="shared" si="2"/>
        <v>0</v>
      </c>
      <c r="X19" s="1001">
        <f t="shared" si="2"/>
        <v>0</v>
      </c>
      <c r="Y19" s="1001">
        <f t="shared" si="2"/>
        <v>0</v>
      </c>
      <c r="Z19" s="1001">
        <f t="shared" si="2"/>
        <v>0</v>
      </c>
      <c r="AA19" s="1001">
        <f t="shared" si="2"/>
        <v>0</v>
      </c>
      <c r="AB19" s="1001">
        <f t="shared" si="2"/>
        <v>0</v>
      </c>
      <c r="AC19" s="1000" t="e">
        <f>SUM(C19:AB19)</f>
        <v>#N/A</v>
      </c>
    </row>
    <row r="20" spans="2:29" ht="30" thickTop="1" thickBot="1" x14ac:dyDescent="0.35">
      <c r="B20" s="999" t="s">
        <v>1008</v>
      </c>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8"/>
    </row>
    <row r="21" spans="2:29" ht="28.8" x14ac:dyDescent="0.3">
      <c r="B21" s="997" t="s">
        <v>1007</v>
      </c>
      <c r="C21" s="992" t="e">
        <f>'Hipóteses xerais (2)'!$F$35</f>
        <v>#N/A</v>
      </c>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4" t="e">
        <f t="shared" ref="AC21:AC30" si="3">SUM(C21:AB21)</f>
        <v>#N/A</v>
      </c>
    </row>
    <row r="22" spans="2:29" ht="28.8" x14ac:dyDescent="0.3">
      <c r="B22" s="997" t="s">
        <v>1006</v>
      </c>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4">
        <f t="shared" si="3"/>
        <v>0</v>
      </c>
    </row>
    <row r="23" spans="2:29" x14ac:dyDescent="0.3">
      <c r="B23" s="997" t="s">
        <v>1005</v>
      </c>
      <c r="C23" s="992"/>
      <c r="D23" s="992">
        <f>'Hipóteses xerais (2)'!$C$62</f>
        <v>42000</v>
      </c>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4">
        <f t="shared" si="3"/>
        <v>42000</v>
      </c>
    </row>
    <row r="24" spans="2:29" x14ac:dyDescent="0.3">
      <c r="B24" s="997" t="s">
        <v>1004</v>
      </c>
      <c r="C24" s="992" t="e">
        <f>'Hipóteses xerais (2)'!$F$12</f>
        <v>#N/A</v>
      </c>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4" t="e">
        <f t="shared" si="3"/>
        <v>#N/A</v>
      </c>
    </row>
    <row r="25" spans="2:29" x14ac:dyDescent="0.3">
      <c r="B25" s="996" t="s">
        <v>1003</v>
      </c>
      <c r="C25" s="145"/>
      <c r="D25" s="12">
        <f>-INDEX('x Financiamento'!$D$12:$D$26,'Fluxo de caixa'!D4)</f>
        <v>0</v>
      </c>
      <c r="E25" s="12">
        <f>-INDEX('x Financiamento'!$D$12:$D$26,'Fluxo de caixa'!E4)</f>
        <v>0</v>
      </c>
      <c r="F25" s="12">
        <f>-INDEX('x Financiamento'!$D$12:$D$26,'Fluxo de caixa'!F4)</f>
        <v>0</v>
      </c>
      <c r="G25" s="12">
        <f>-INDEX('x Financiamento'!$D$12:$D$26,'Fluxo de caixa'!G4)</f>
        <v>0</v>
      </c>
      <c r="H25" s="12">
        <f>-INDEX('x Financiamento'!$D$12:$D$26,'Fluxo de caixa'!H4)</f>
        <v>0</v>
      </c>
      <c r="I25" s="12">
        <f>-INDEX('x Financiamento'!$D$12:$D$26,'Fluxo de caixa'!I4)</f>
        <v>0</v>
      </c>
      <c r="J25" s="12">
        <f>-INDEX('x Financiamento'!$D$12:$D$26,'Fluxo de caixa'!J4)</f>
        <v>0</v>
      </c>
      <c r="K25" s="12">
        <f>-INDEX('x Financiamento'!$D$12:$D$26,'Fluxo de caixa'!K4)</f>
        <v>0</v>
      </c>
      <c r="L25" s="12">
        <f>-INDEX('x Financiamento'!$D$12:$D$26,'Fluxo de caixa'!L4)</f>
        <v>0</v>
      </c>
      <c r="M25" s="12">
        <f>-INDEX('x Financiamento'!$D$12:$D$26,'Fluxo de caixa'!M4)</f>
        <v>0</v>
      </c>
      <c r="N25" s="12">
        <f>-INDEX('x Financiamento'!$D$12:$D$26,'Fluxo de caixa'!N4)</f>
        <v>0</v>
      </c>
      <c r="O25" s="12">
        <f>-INDEX('x Financiamento'!$D$12:$D$26,'Fluxo de caixa'!O4)</f>
        <v>0</v>
      </c>
      <c r="P25" s="12">
        <f>-INDEX('x Financiamento'!$D$12:$D$26,'Fluxo de caixa'!P4)</f>
        <v>0</v>
      </c>
      <c r="Q25" s="12">
        <f>-INDEX('x Financiamento'!$D$12:$D$26,'Fluxo de caixa'!Q4)</f>
        <v>0</v>
      </c>
      <c r="R25" s="12">
        <f>-INDEX('x Financiamento'!$D$12:$D$26,'Fluxo de caixa'!R4)</f>
        <v>0</v>
      </c>
      <c r="S25" s="145">
        <v>0</v>
      </c>
      <c r="T25" s="145">
        <v>0</v>
      </c>
      <c r="U25" s="145">
        <v>0</v>
      </c>
      <c r="V25" s="145">
        <v>0</v>
      </c>
      <c r="W25" s="145">
        <v>0</v>
      </c>
      <c r="X25" s="145">
        <v>0</v>
      </c>
      <c r="Y25" s="145">
        <v>0</v>
      </c>
      <c r="Z25" s="145">
        <v>0</v>
      </c>
      <c r="AA25" s="145">
        <v>0</v>
      </c>
      <c r="AB25" s="145">
        <v>0</v>
      </c>
      <c r="AC25" s="733">
        <f t="shared" si="3"/>
        <v>0</v>
      </c>
    </row>
    <row r="26" spans="2:29" x14ac:dyDescent="0.3">
      <c r="B26" s="993" t="s">
        <v>1002</v>
      </c>
      <c r="C26" s="992"/>
      <c r="D26" s="995">
        <f>-'Conta explotación'!F49</f>
        <v>0</v>
      </c>
      <c r="E26" s="995">
        <f>-'Conta explotación'!G49</f>
        <v>0</v>
      </c>
      <c r="F26" s="995">
        <f>-'Conta explotación'!H49</f>
        <v>0</v>
      </c>
      <c r="G26" s="995">
        <f>-'Conta explotación'!I49</f>
        <v>0</v>
      </c>
      <c r="H26" s="995">
        <f>-'Conta explotación'!J49</f>
        <v>0</v>
      </c>
      <c r="I26" s="995">
        <f>-'Conta explotación'!K49</f>
        <v>0</v>
      </c>
      <c r="J26" s="995">
        <f>-'Conta explotación'!L49</f>
        <v>0</v>
      </c>
      <c r="K26" s="995">
        <f>-'Conta explotación'!M49</f>
        <v>0</v>
      </c>
      <c r="L26" s="995">
        <f>-'Conta explotación'!N49</f>
        <v>0</v>
      </c>
      <c r="M26" s="995">
        <f>-'Conta explotación'!O49</f>
        <v>0</v>
      </c>
      <c r="N26" s="995">
        <f>-'Conta explotación'!P49</f>
        <v>0</v>
      </c>
      <c r="O26" s="995">
        <f>-'Conta explotación'!Q49</f>
        <v>0</v>
      </c>
      <c r="P26" s="995">
        <f>-'Conta explotación'!R49</f>
        <v>0</v>
      </c>
      <c r="Q26" s="995">
        <f>-'Conta explotación'!S49</f>
        <v>0</v>
      </c>
      <c r="R26" s="995">
        <f>-'Conta explotación'!T49</f>
        <v>0</v>
      </c>
      <c r="S26" s="995">
        <f>-'Conta explotación'!U49</f>
        <v>0</v>
      </c>
      <c r="T26" s="995">
        <f>-'Conta explotación'!V49</f>
        <v>0</v>
      </c>
      <c r="U26" s="995">
        <f>-'Conta explotación'!W49</f>
        <v>0</v>
      </c>
      <c r="V26" s="995">
        <f>-'Conta explotación'!X49</f>
        <v>0</v>
      </c>
      <c r="W26" s="995">
        <f>-'Conta explotación'!Y49</f>
        <v>0</v>
      </c>
      <c r="X26" s="995">
        <f>-'Conta explotación'!Z49</f>
        <v>0</v>
      </c>
      <c r="Y26" s="995">
        <f>-'Conta explotación'!AA49</f>
        <v>0</v>
      </c>
      <c r="Z26" s="995">
        <f>-'Conta explotación'!AB49</f>
        <v>0</v>
      </c>
      <c r="AA26" s="995">
        <f>-'Conta explotación'!AC49</f>
        <v>0</v>
      </c>
      <c r="AB26" s="995">
        <f>-'Conta explotación'!AD49</f>
        <v>0</v>
      </c>
      <c r="AC26" s="994">
        <f t="shared" si="3"/>
        <v>0</v>
      </c>
    </row>
    <row r="27" spans="2:29" ht="29.4" thickBot="1" x14ac:dyDescent="0.35">
      <c r="B27" s="993" t="s">
        <v>1001</v>
      </c>
      <c r="C27" s="992"/>
      <c r="D27" s="992" t="e">
        <f>IF($E$40="Si",(-('Conta explotación'!F6+'Conta explotación'!F7)),0)</f>
        <v>#N/A</v>
      </c>
      <c r="E27" s="992" t="e">
        <f>IF($E$40="Si",(-('Conta explotación'!G6+'Conta explotación'!G7)),0)</f>
        <v>#N/A</v>
      </c>
      <c r="F27" s="992" t="e">
        <f>IF($E$40="Si",(-('Conta explotación'!H6+'Conta explotación'!H7)),0)</f>
        <v>#N/A</v>
      </c>
      <c r="G27" s="992" t="e">
        <f>IF($E$40="Si",(-('Conta explotación'!I6+'Conta explotación'!I7)),0)</f>
        <v>#N/A</v>
      </c>
      <c r="H27" s="992" t="e">
        <f>IF($E$40="Si",(-('Conta explotación'!J6+'Conta explotación'!J7)),0)</f>
        <v>#N/A</v>
      </c>
      <c r="I27" s="992" t="e">
        <f>IF($E$40="Si",(-('Conta explotación'!K6+'Conta explotación'!K7)),0)</f>
        <v>#N/A</v>
      </c>
      <c r="J27" s="992" t="e">
        <f>IF($E$40="Si",(-('Conta explotación'!L6+'Conta explotación'!L7)),0)</f>
        <v>#N/A</v>
      </c>
      <c r="K27" s="992" t="e">
        <f>IF($E$40="Si",(-('Conta explotación'!M6+'Conta explotación'!M7)),0)</f>
        <v>#N/A</v>
      </c>
      <c r="L27" s="992" t="e">
        <f>IF($E$40="Si",(-('Conta explotación'!N6+'Conta explotación'!N7)),0)</f>
        <v>#N/A</v>
      </c>
      <c r="M27" s="992" t="e">
        <f>IF($E$40="Si",(-('Conta explotación'!O6+'Conta explotación'!O7)),0)</f>
        <v>#N/A</v>
      </c>
      <c r="N27" s="992" t="e">
        <f>IF($E$40="Si",(-('Conta explotación'!P6+'Conta explotación'!P7)),0)</f>
        <v>#N/A</v>
      </c>
      <c r="O27" s="992" t="e">
        <f>IF($E$40="Si",(-('Conta explotación'!Q6+'Conta explotación'!Q7)),0)</f>
        <v>#N/A</v>
      </c>
      <c r="P27" s="992" t="e">
        <f>IF($E$40="Si",(-('Conta explotación'!R6+'Conta explotación'!R7)),0)</f>
        <v>#N/A</v>
      </c>
      <c r="Q27" s="992" t="e">
        <f>IF($E$40="Si",(-('Conta explotación'!S6+'Conta explotación'!S7)),0)</f>
        <v>#N/A</v>
      </c>
      <c r="R27" s="992" t="e">
        <f>IF($E$40="Si",(-('Conta explotación'!T6+'Conta explotación'!T7)),0)</f>
        <v>#N/A</v>
      </c>
      <c r="S27" s="992" t="e">
        <f>IF($E$40="Si",(-('Conta explotación'!U6+'Conta explotación'!U7)),0)</f>
        <v>#N/A</v>
      </c>
      <c r="T27" s="992" t="e">
        <f>IF($E$40="Si",(-('Conta explotación'!V6+'Conta explotación'!V7)),0)</f>
        <v>#N/A</v>
      </c>
      <c r="U27" s="992" t="e">
        <f>IF($E$40="Si",(-('Conta explotación'!W6+'Conta explotación'!W7)),0)</f>
        <v>#N/A</v>
      </c>
      <c r="V27" s="992" t="e">
        <f>IF($E$40="Si",(-('Conta explotación'!X6+'Conta explotación'!X7)),0)</f>
        <v>#N/A</v>
      </c>
      <c r="W27" s="992" t="e">
        <f>IF($E$40="Si",(-('Conta explotación'!Y6+'Conta explotación'!Y7)),0)</f>
        <v>#N/A</v>
      </c>
      <c r="X27" s="992" t="e">
        <f>IF($E$40="Si",(-('Conta explotación'!Z6+'Conta explotación'!Z7)),0)</f>
        <v>#N/A</v>
      </c>
      <c r="Y27" s="992" t="e">
        <f>IF($E$40="Si",(-('Conta explotación'!AA6+'Conta explotación'!AA7)),0)</f>
        <v>#N/A</v>
      </c>
      <c r="Z27" s="992" t="e">
        <f>IF($E$40="Si",(-('Conta explotación'!AB6+'Conta explotación'!AB7)),0)</f>
        <v>#N/A</v>
      </c>
      <c r="AA27" s="992" t="e">
        <f>IF($E$40="Si",(-('Conta explotación'!AC6+'Conta explotación'!AC7)),0)</f>
        <v>#N/A</v>
      </c>
      <c r="AB27" s="992" t="e">
        <f>IF($E$40="Si",(-('Conta explotación'!AD6+'Conta explotación'!AD7)),0)</f>
        <v>#N/A</v>
      </c>
      <c r="AC27" s="991" t="e">
        <f t="shared" si="3"/>
        <v>#N/A</v>
      </c>
    </row>
    <row r="28" spans="2:29" ht="30" thickTop="1" thickBot="1" x14ac:dyDescent="0.35">
      <c r="B28" s="990" t="s">
        <v>1000</v>
      </c>
      <c r="C28" s="989" t="e">
        <f t="shared" ref="C28:AB28" si="4">SUM(C21:C27)</f>
        <v>#N/A</v>
      </c>
      <c r="D28" s="988" t="e">
        <f t="shared" si="4"/>
        <v>#N/A</v>
      </c>
      <c r="E28" s="988" t="e">
        <f t="shared" si="4"/>
        <v>#N/A</v>
      </c>
      <c r="F28" s="988" t="e">
        <f t="shared" si="4"/>
        <v>#N/A</v>
      </c>
      <c r="G28" s="988" t="e">
        <f t="shared" si="4"/>
        <v>#N/A</v>
      </c>
      <c r="H28" s="988" t="e">
        <f t="shared" si="4"/>
        <v>#N/A</v>
      </c>
      <c r="I28" s="988" t="e">
        <f t="shared" si="4"/>
        <v>#N/A</v>
      </c>
      <c r="J28" s="988" t="e">
        <f t="shared" si="4"/>
        <v>#N/A</v>
      </c>
      <c r="K28" s="988" t="e">
        <f t="shared" si="4"/>
        <v>#N/A</v>
      </c>
      <c r="L28" s="988" t="e">
        <f t="shared" si="4"/>
        <v>#N/A</v>
      </c>
      <c r="M28" s="988" t="e">
        <f t="shared" si="4"/>
        <v>#N/A</v>
      </c>
      <c r="N28" s="988" t="e">
        <f t="shared" si="4"/>
        <v>#N/A</v>
      </c>
      <c r="O28" s="988" t="e">
        <f t="shared" si="4"/>
        <v>#N/A</v>
      </c>
      <c r="P28" s="988" t="e">
        <f t="shared" si="4"/>
        <v>#N/A</v>
      </c>
      <c r="Q28" s="988" t="e">
        <f t="shared" si="4"/>
        <v>#N/A</v>
      </c>
      <c r="R28" s="988" t="e">
        <f t="shared" si="4"/>
        <v>#N/A</v>
      </c>
      <c r="S28" s="988" t="e">
        <f t="shared" si="4"/>
        <v>#N/A</v>
      </c>
      <c r="T28" s="988" t="e">
        <f t="shared" si="4"/>
        <v>#N/A</v>
      </c>
      <c r="U28" s="988" t="e">
        <f t="shared" si="4"/>
        <v>#N/A</v>
      </c>
      <c r="V28" s="988" t="e">
        <f t="shared" si="4"/>
        <v>#N/A</v>
      </c>
      <c r="W28" s="988" t="e">
        <f t="shared" si="4"/>
        <v>#N/A</v>
      </c>
      <c r="X28" s="988" t="e">
        <f t="shared" si="4"/>
        <v>#N/A</v>
      </c>
      <c r="Y28" s="988" t="e">
        <f t="shared" si="4"/>
        <v>#N/A</v>
      </c>
      <c r="Z28" s="988" t="e">
        <f t="shared" si="4"/>
        <v>#N/A</v>
      </c>
      <c r="AA28" s="988" t="e">
        <f t="shared" si="4"/>
        <v>#N/A</v>
      </c>
      <c r="AB28" s="987" t="e">
        <f t="shared" si="4"/>
        <v>#N/A</v>
      </c>
      <c r="AC28" s="986" t="e">
        <f t="shared" si="3"/>
        <v>#N/A</v>
      </c>
    </row>
    <row r="29" spans="2:29" ht="15.6" thickTop="1" thickBot="1" x14ac:dyDescent="0.35">
      <c r="B29" s="985" t="s">
        <v>999</v>
      </c>
      <c r="C29" s="984" t="e">
        <f t="shared" ref="C29:AB29" si="5">C30+C28</f>
        <v>#N/A</v>
      </c>
      <c r="D29" s="984" t="e">
        <f t="shared" si="5"/>
        <v>#N/A</v>
      </c>
      <c r="E29" s="984" t="e">
        <f t="shared" si="5"/>
        <v>#N/A</v>
      </c>
      <c r="F29" s="984" t="e">
        <f t="shared" si="5"/>
        <v>#N/A</v>
      </c>
      <c r="G29" s="984" t="e">
        <f t="shared" si="5"/>
        <v>#N/A</v>
      </c>
      <c r="H29" s="984" t="e">
        <f t="shared" si="5"/>
        <v>#N/A</v>
      </c>
      <c r="I29" s="984" t="e">
        <f t="shared" si="5"/>
        <v>#N/A</v>
      </c>
      <c r="J29" s="984" t="e">
        <f t="shared" si="5"/>
        <v>#N/A</v>
      </c>
      <c r="K29" s="984" t="e">
        <f t="shared" si="5"/>
        <v>#N/A</v>
      </c>
      <c r="L29" s="984" t="e">
        <f t="shared" si="5"/>
        <v>#N/A</v>
      </c>
      <c r="M29" s="984" t="e">
        <f t="shared" si="5"/>
        <v>#N/A</v>
      </c>
      <c r="N29" s="984" t="e">
        <f t="shared" si="5"/>
        <v>#N/A</v>
      </c>
      <c r="O29" s="984" t="e">
        <f t="shared" si="5"/>
        <v>#N/A</v>
      </c>
      <c r="P29" s="984" t="e">
        <f t="shared" si="5"/>
        <v>#N/A</v>
      </c>
      <c r="Q29" s="984" t="e">
        <f t="shared" si="5"/>
        <v>#N/A</v>
      </c>
      <c r="R29" s="984" t="e">
        <f t="shared" si="5"/>
        <v>#N/A</v>
      </c>
      <c r="S29" s="984" t="e">
        <f t="shared" si="5"/>
        <v>#N/A</v>
      </c>
      <c r="T29" s="984" t="e">
        <f t="shared" si="5"/>
        <v>#N/A</v>
      </c>
      <c r="U29" s="984" t="e">
        <f t="shared" si="5"/>
        <v>#N/A</v>
      </c>
      <c r="V29" s="984" t="e">
        <f t="shared" si="5"/>
        <v>#N/A</v>
      </c>
      <c r="W29" s="984" t="e">
        <f t="shared" si="5"/>
        <v>#N/A</v>
      </c>
      <c r="X29" s="984" t="e">
        <f t="shared" si="5"/>
        <v>#N/A</v>
      </c>
      <c r="Y29" s="984" t="e">
        <f t="shared" si="5"/>
        <v>#N/A</v>
      </c>
      <c r="Z29" s="984" t="e">
        <f t="shared" si="5"/>
        <v>#N/A</v>
      </c>
      <c r="AA29" s="984" t="e">
        <f t="shared" si="5"/>
        <v>#N/A</v>
      </c>
      <c r="AB29" s="983" t="e">
        <f t="shared" si="5"/>
        <v>#N/A</v>
      </c>
      <c r="AC29" s="982" t="e">
        <f t="shared" si="3"/>
        <v>#N/A</v>
      </c>
    </row>
    <row r="30" spans="2:29" ht="15.6" thickTop="1" thickBot="1" x14ac:dyDescent="0.35">
      <c r="B30" s="552" t="s">
        <v>998</v>
      </c>
      <c r="C30" s="981" t="e">
        <f t="shared" ref="C30:AB30" si="6">C15+C19</f>
        <v>#N/A</v>
      </c>
      <c r="D30" s="981" t="e">
        <f t="shared" si="6"/>
        <v>#N/A</v>
      </c>
      <c r="E30" s="981" t="e">
        <f t="shared" si="6"/>
        <v>#N/A</v>
      </c>
      <c r="F30" s="981" t="e">
        <f t="shared" si="6"/>
        <v>#N/A</v>
      </c>
      <c r="G30" s="981" t="e">
        <f t="shared" si="6"/>
        <v>#N/A</v>
      </c>
      <c r="H30" s="981" t="e">
        <f t="shared" si="6"/>
        <v>#N/A</v>
      </c>
      <c r="I30" s="981" t="e">
        <f t="shared" si="6"/>
        <v>#N/A</v>
      </c>
      <c r="J30" s="981" t="e">
        <f t="shared" si="6"/>
        <v>#N/A</v>
      </c>
      <c r="K30" s="981" t="e">
        <f t="shared" si="6"/>
        <v>#N/A</v>
      </c>
      <c r="L30" s="981" t="e">
        <f t="shared" si="6"/>
        <v>#N/A</v>
      </c>
      <c r="M30" s="981" t="e">
        <f t="shared" si="6"/>
        <v>#N/A</v>
      </c>
      <c r="N30" s="981" t="e">
        <f t="shared" si="6"/>
        <v>#N/A</v>
      </c>
      <c r="O30" s="981" t="e">
        <f t="shared" si="6"/>
        <v>#N/A</v>
      </c>
      <c r="P30" s="981" t="e">
        <f t="shared" si="6"/>
        <v>#N/A</v>
      </c>
      <c r="Q30" s="981" t="e">
        <f t="shared" si="6"/>
        <v>#N/A</v>
      </c>
      <c r="R30" s="981" t="e">
        <f t="shared" si="6"/>
        <v>#N/A</v>
      </c>
      <c r="S30" s="981" t="e">
        <f t="shared" si="6"/>
        <v>#N/A</v>
      </c>
      <c r="T30" s="981" t="e">
        <f t="shared" si="6"/>
        <v>#N/A</v>
      </c>
      <c r="U30" s="981" t="e">
        <f t="shared" si="6"/>
        <v>#N/A</v>
      </c>
      <c r="V30" s="981" t="e">
        <f t="shared" si="6"/>
        <v>#N/A</v>
      </c>
      <c r="W30" s="981" t="e">
        <f t="shared" si="6"/>
        <v>#N/A</v>
      </c>
      <c r="X30" s="981" t="e">
        <f t="shared" si="6"/>
        <v>#N/A</v>
      </c>
      <c r="Y30" s="981" t="e">
        <f t="shared" si="6"/>
        <v>#N/A</v>
      </c>
      <c r="Z30" s="981" t="e">
        <f t="shared" si="6"/>
        <v>#N/A</v>
      </c>
      <c r="AA30" s="981" t="e">
        <f t="shared" si="6"/>
        <v>#N/A</v>
      </c>
      <c r="AB30" s="957" t="e">
        <f t="shared" si="6"/>
        <v>#N/A</v>
      </c>
      <c r="AC30" s="706" t="e">
        <f t="shared" si="3"/>
        <v>#N/A</v>
      </c>
    </row>
    <row r="31" spans="2:29" ht="15.6" thickTop="1" thickBot="1" x14ac:dyDescent="0.3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row>
    <row r="32" spans="2:29" ht="15.6" thickTop="1" thickBot="1" x14ac:dyDescent="0.35">
      <c r="B32" s="980" t="s">
        <v>997</v>
      </c>
      <c r="C32" s="708" t="e">
        <f>-C21</f>
        <v>#N/A</v>
      </c>
      <c r="D32" s="979" t="e">
        <f t="shared" ref="D32:AB32" si="7">D29-D27</f>
        <v>#N/A</v>
      </c>
      <c r="E32" s="979" t="e">
        <f t="shared" si="7"/>
        <v>#N/A</v>
      </c>
      <c r="F32" s="979" t="e">
        <f t="shared" si="7"/>
        <v>#N/A</v>
      </c>
      <c r="G32" s="979" t="e">
        <f t="shared" si="7"/>
        <v>#N/A</v>
      </c>
      <c r="H32" s="979" t="e">
        <f t="shared" si="7"/>
        <v>#N/A</v>
      </c>
      <c r="I32" s="979" t="e">
        <f t="shared" si="7"/>
        <v>#N/A</v>
      </c>
      <c r="J32" s="979" t="e">
        <f t="shared" si="7"/>
        <v>#N/A</v>
      </c>
      <c r="K32" s="979" t="e">
        <f t="shared" si="7"/>
        <v>#N/A</v>
      </c>
      <c r="L32" s="979" t="e">
        <f t="shared" si="7"/>
        <v>#N/A</v>
      </c>
      <c r="M32" s="979" t="e">
        <f t="shared" si="7"/>
        <v>#N/A</v>
      </c>
      <c r="N32" s="979" t="e">
        <f t="shared" si="7"/>
        <v>#N/A</v>
      </c>
      <c r="O32" s="979" t="e">
        <f t="shared" si="7"/>
        <v>#N/A</v>
      </c>
      <c r="P32" s="979" t="e">
        <f t="shared" si="7"/>
        <v>#N/A</v>
      </c>
      <c r="Q32" s="979" t="e">
        <f t="shared" si="7"/>
        <v>#N/A</v>
      </c>
      <c r="R32" s="979" t="e">
        <f t="shared" si="7"/>
        <v>#N/A</v>
      </c>
      <c r="S32" s="979" t="e">
        <f t="shared" si="7"/>
        <v>#N/A</v>
      </c>
      <c r="T32" s="979" t="e">
        <f t="shared" si="7"/>
        <v>#N/A</v>
      </c>
      <c r="U32" s="979" t="e">
        <f t="shared" si="7"/>
        <v>#N/A</v>
      </c>
      <c r="V32" s="979" t="e">
        <f t="shared" si="7"/>
        <v>#N/A</v>
      </c>
      <c r="W32" s="979" t="e">
        <f t="shared" si="7"/>
        <v>#N/A</v>
      </c>
      <c r="X32" s="979" t="e">
        <f t="shared" si="7"/>
        <v>#N/A</v>
      </c>
      <c r="Y32" s="979" t="e">
        <f t="shared" si="7"/>
        <v>#N/A</v>
      </c>
      <c r="Z32" s="979" t="e">
        <f t="shared" si="7"/>
        <v>#N/A</v>
      </c>
      <c r="AA32" s="979" t="e">
        <f t="shared" si="7"/>
        <v>#N/A</v>
      </c>
      <c r="AB32" s="978" t="e">
        <f t="shared" si="7"/>
        <v>#N/A</v>
      </c>
      <c r="AC32" s="977"/>
    </row>
    <row r="33" spans="2:28" ht="15" thickTop="1" x14ac:dyDescent="0.3">
      <c r="B33" t="s">
        <v>996</v>
      </c>
      <c r="C33" s="145" t="e">
        <f>C32</f>
        <v>#N/A</v>
      </c>
      <c r="D33" s="145" t="e">
        <f>D32/((1+'Hipóteses xerais (2)'!$C$33)^('Fluxo de caixa'!D4))</f>
        <v>#N/A</v>
      </c>
      <c r="E33" s="145" t="e">
        <f>E32/((1+'Hipóteses xerais (2)'!$C$33)^('Fluxo de caixa'!E4))</f>
        <v>#N/A</v>
      </c>
      <c r="F33" s="145" t="e">
        <f>F32/((1+'Hipóteses xerais (2)'!$C$33)^('Fluxo de caixa'!F4))</f>
        <v>#N/A</v>
      </c>
      <c r="G33" s="145" t="e">
        <f>G32/((1+'Hipóteses xerais (2)'!$C$33)^('Fluxo de caixa'!G4))</f>
        <v>#N/A</v>
      </c>
      <c r="H33" s="145" t="e">
        <f>H32/((1+'Hipóteses xerais (2)'!$C$33)^('Fluxo de caixa'!H4))</f>
        <v>#N/A</v>
      </c>
      <c r="I33" s="145" t="e">
        <f>I32/((1+'Hipóteses xerais (2)'!$C$33)^('Fluxo de caixa'!I4))</f>
        <v>#N/A</v>
      </c>
      <c r="J33" s="145" t="e">
        <f>J32/((1+'Hipóteses xerais (2)'!$C$33)^('Fluxo de caixa'!J4))</f>
        <v>#N/A</v>
      </c>
      <c r="K33" s="145" t="e">
        <f>K32/((1+'Hipóteses xerais (2)'!$C$33)^('Fluxo de caixa'!K4))</f>
        <v>#N/A</v>
      </c>
      <c r="L33" s="145" t="e">
        <f>L32/((1+'Hipóteses xerais (2)'!$C$33)^('Fluxo de caixa'!L4))</f>
        <v>#N/A</v>
      </c>
      <c r="M33" s="145" t="e">
        <f>M32/((1+'Hipóteses xerais (2)'!$C$33)^('Fluxo de caixa'!M4))</f>
        <v>#N/A</v>
      </c>
      <c r="N33" s="145" t="e">
        <f>N32/((1+'Hipóteses xerais (2)'!$C$33)^('Fluxo de caixa'!N4))</f>
        <v>#N/A</v>
      </c>
      <c r="O33" s="145" t="e">
        <f>O32/((1+'Hipóteses xerais (2)'!$C$33)^('Fluxo de caixa'!O4))</f>
        <v>#N/A</v>
      </c>
      <c r="P33" s="145" t="e">
        <f>P32/((1+'Hipóteses xerais (2)'!$C$33)^('Fluxo de caixa'!P4))</f>
        <v>#N/A</v>
      </c>
      <c r="Q33" s="145" t="e">
        <f>Q32/((1+'Hipóteses xerais (2)'!$C$33)^('Fluxo de caixa'!Q4))</f>
        <v>#N/A</v>
      </c>
      <c r="R33" s="145" t="e">
        <f>R32/((1+'Hipóteses xerais (2)'!$C$33)^('Fluxo de caixa'!R4))</f>
        <v>#N/A</v>
      </c>
      <c r="S33" s="145" t="e">
        <f>S32/((1+'Hipóteses xerais (2)'!$C$33)^('Fluxo de caixa'!S4))</f>
        <v>#N/A</v>
      </c>
      <c r="T33" s="145" t="e">
        <f>T32/((1+'Hipóteses xerais (2)'!$C$33)^('Fluxo de caixa'!T4))</f>
        <v>#N/A</v>
      </c>
      <c r="U33" s="145" t="e">
        <f>U32/((1+'Hipóteses xerais (2)'!$C$33)^('Fluxo de caixa'!U4))</f>
        <v>#N/A</v>
      </c>
      <c r="V33" s="145" t="e">
        <f>V32/((1+'Hipóteses xerais (2)'!$C$33)^('Fluxo de caixa'!V4))</f>
        <v>#N/A</v>
      </c>
      <c r="W33" s="145" t="e">
        <f>W32/((1+'Hipóteses xerais (2)'!$C$33)^('Fluxo de caixa'!W4))</f>
        <v>#N/A</v>
      </c>
      <c r="X33" s="145" t="e">
        <f>X32/((1+'Hipóteses xerais (2)'!$C$33)^('Fluxo de caixa'!X4))</f>
        <v>#N/A</v>
      </c>
      <c r="Y33" s="145" t="e">
        <f>Y32/((1+'Hipóteses xerais (2)'!$C$33)^('Fluxo de caixa'!Y4))</f>
        <v>#N/A</v>
      </c>
      <c r="Z33" s="145" t="e">
        <f>Z32/((1+'Hipóteses xerais (2)'!$C$33)^('Fluxo de caixa'!Z4))</f>
        <v>#N/A</v>
      </c>
      <c r="AA33" s="145" t="e">
        <f>AA32/((1+'Hipóteses xerais (2)'!$C$33)^('Fluxo de caixa'!AA4))</f>
        <v>#N/A</v>
      </c>
      <c r="AB33" s="145" t="e">
        <f>AB32/((1+'Hipóteses xerais (2)'!$C$33)^('Fluxo de caixa'!AB4))</f>
        <v>#N/A</v>
      </c>
    </row>
    <row r="34" spans="2:28" x14ac:dyDescent="0.3">
      <c r="B34" t="s">
        <v>995</v>
      </c>
      <c r="C34" s="145" t="e">
        <f>C30</f>
        <v>#N/A</v>
      </c>
      <c r="D34" s="145" t="e">
        <f>D30/((1+'Hipóteses xerais (2)'!$C$33)^('Fluxo de caixa'!D4))</f>
        <v>#N/A</v>
      </c>
      <c r="E34" s="145" t="e">
        <f>E30/((1+'Hipóteses xerais (2)'!$C$33)^('Fluxo de caixa'!E4))</f>
        <v>#N/A</v>
      </c>
      <c r="F34" s="145" t="e">
        <f>F30/((1+'Hipóteses xerais (2)'!$C$33)^('Fluxo de caixa'!F4))</f>
        <v>#N/A</v>
      </c>
      <c r="G34" s="145" t="e">
        <f>G30/((1+'Hipóteses xerais (2)'!$C$33)^('Fluxo de caixa'!G4))</f>
        <v>#N/A</v>
      </c>
      <c r="H34" s="145" t="e">
        <f>H30/((1+'Hipóteses xerais (2)'!$C$33)^('Fluxo de caixa'!H4))</f>
        <v>#N/A</v>
      </c>
      <c r="I34" s="145" t="e">
        <f>I30/((1+'Hipóteses xerais (2)'!$C$33)^('Fluxo de caixa'!I4))</f>
        <v>#N/A</v>
      </c>
      <c r="J34" s="145" t="e">
        <f>J30/((1+'Hipóteses xerais (2)'!$C$33)^('Fluxo de caixa'!J4))</f>
        <v>#N/A</v>
      </c>
      <c r="K34" s="145" t="e">
        <f>K30/((1+'Hipóteses xerais (2)'!$C$33)^('Fluxo de caixa'!K4))</f>
        <v>#N/A</v>
      </c>
      <c r="L34" s="145" t="e">
        <f>L30/((1+'Hipóteses xerais (2)'!$C$33)^('Fluxo de caixa'!L4))</f>
        <v>#N/A</v>
      </c>
      <c r="M34" s="145" t="e">
        <f>M30/((1+'Hipóteses xerais (2)'!$C$33)^('Fluxo de caixa'!M4))</f>
        <v>#N/A</v>
      </c>
      <c r="N34" s="145" t="e">
        <f>N30/((1+'Hipóteses xerais (2)'!$C$33)^('Fluxo de caixa'!N4))</f>
        <v>#N/A</v>
      </c>
      <c r="O34" s="145" t="e">
        <f>O30/((1+'Hipóteses xerais (2)'!$C$33)^('Fluxo de caixa'!O4))</f>
        <v>#N/A</v>
      </c>
      <c r="P34" s="145" t="e">
        <f>P30/((1+'Hipóteses xerais (2)'!$C$33)^('Fluxo de caixa'!P4))</f>
        <v>#N/A</v>
      </c>
      <c r="Q34" s="145" t="e">
        <f>Q30/((1+'Hipóteses xerais (2)'!$C$33)^('Fluxo de caixa'!Q4))</f>
        <v>#N/A</v>
      </c>
      <c r="R34" s="145" t="e">
        <f>R30/((1+'Hipóteses xerais (2)'!$C$33)^('Fluxo de caixa'!R4))</f>
        <v>#N/A</v>
      </c>
      <c r="S34" s="145" t="e">
        <f>S30/((1+'Hipóteses xerais (2)'!$C$33)^('Fluxo de caixa'!S4))</f>
        <v>#N/A</v>
      </c>
      <c r="T34" s="145" t="e">
        <f>T30/((1+'Hipóteses xerais (2)'!$C$33)^('Fluxo de caixa'!T4))</f>
        <v>#N/A</v>
      </c>
      <c r="U34" s="145" t="e">
        <f>U30/((1+'Hipóteses xerais (2)'!$C$33)^('Fluxo de caixa'!U4))</f>
        <v>#N/A</v>
      </c>
      <c r="V34" s="145" t="e">
        <f>V30/((1+'Hipóteses xerais (2)'!$C$33)^('Fluxo de caixa'!V4))</f>
        <v>#N/A</v>
      </c>
      <c r="W34" s="145" t="e">
        <f>W30/((1+'Hipóteses xerais (2)'!$C$33)^('Fluxo de caixa'!W4))</f>
        <v>#N/A</v>
      </c>
      <c r="X34" s="145" t="e">
        <f>X30/((1+'Hipóteses xerais (2)'!$C$33)^('Fluxo de caixa'!X4))</f>
        <v>#N/A</v>
      </c>
      <c r="Y34" s="145" t="e">
        <f>Y30/((1+'Hipóteses xerais (2)'!$C$33)^('Fluxo de caixa'!Y4))</f>
        <v>#N/A</v>
      </c>
      <c r="Z34" s="145" t="e">
        <f>Z30/((1+'Hipóteses xerais (2)'!$C$33)^('Fluxo de caixa'!Z4))</f>
        <v>#N/A</v>
      </c>
      <c r="AA34" s="145" t="e">
        <f>AA30/((1+'Hipóteses xerais (2)'!$C$33)^('Fluxo de caixa'!AA4))</f>
        <v>#N/A</v>
      </c>
      <c r="AB34" s="145" t="e">
        <f>AB30/((1+'Hipóteses xerais (2)'!$C$33)^('Fluxo de caixa'!AB4))</f>
        <v>#N/A</v>
      </c>
    </row>
    <row r="35" spans="2:28" x14ac:dyDescent="0.3">
      <c r="B35" s="13" t="s">
        <v>994</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row>
    <row r="36" spans="2:28" ht="15" thickBot="1" x14ac:dyDescent="0.3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row>
    <row r="37" spans="2:28" ht="15.6" thickTop="1" thickBot="1" x14ac:dyDescent="0.35">
      <c r="B37" s="965" t="s">
        <v>993</v>
      </c>
      <c r="C37" s="970" t="e">
        <f>IRR(C30:AB30)</f>
        <v>#VALUE!</v>
      </c>
      <c r="D37" s="145"/>
      <c r="E37" s="976" t="s">
        <v>992</v>
      </c>
      <c r="F37" s="975"/>
      <c r="G37" s="975"/>
      <c r="H37" s="975"/>
      <c r="I37" s="975"/>
      <c r="J37" s="975"/>
      <c r="K37" s="975"/>
      <c r="L37" s="975"/>
      <c r="M37" s="975"/>
      <c r="N37" s="974"/>
      <c r="O37" s="145"/>
      <c r="P37" s="145"/>
      <c r="Q37" s="145"/>
      <c r="R37" s="145"/>
      <c r="S37" s="145"/>
      <c r="T37" s="145"/>
      <c r="U37" s="145"/>
      <c r="V37" s="145"/>
      <c r="W37" s="145"/>
      <c r="X37" s="145"/>
      <c r="Y37" s="145"/>
      <c r="Z37" s="145"/>
      <c r="AA37" s="145"/>
      <c r="AB37" s="145"/>
    </row>
    <row r="38" spans="2:28" ht="15.6" thickTop="1" thickBot="1" x14ac:dyDescent="0.35">
      <c r="B38" s="965" t="s">
        <v>991</v>
      </c>
      <c r="C38" s="970" t="e">
        <f>MIRR(C30:AB30,'Hipóteses xerais (2)'!C33,'Hipóteses xerais (2)'!C33)</f>
        <v>#N/A</v>
      </c>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row>
    <row r="39" spans="2:28" ht="15.6" thickTop="1" thickBot="1" x14ac:dyDescent="0.35">
      <c r="B39" s="965" t="s">
        <v>990</v>
      </c>
      <c r="C39" s="970" t="e">
        <f>IRR(C32:AB32)</f>
        <v>#VALUE!</v>
      </c>
      <c r="D39" s="145"/>
      <c r="E39" s="973" t="s">
        <v>989</v>
      </c>
      <c r="F39" s="972"/>
      <c r="G39" s="972"/>
      <c r="H39" s="972"/>
      <c r="I39" s="972"/>
      <c r="J39" s="972"/>
      <c r="K39" s="972"/>
      <c r="L39" s="971"/>
      <c r="M39" s="145"/>
      <c r="N39" s="145"/>
      <c r="O39" s="145"/>
      <c r="P39" s="145"/>
      <c r="Q39" s="145"/>
      <c r="R39" s="145"/>
      <c r="S39" s="145"/>
      <c r="T39" s="145"/>
      <c r="U39" s="145"/>
      <c r="V39" s="145"/>
      <c r="W39" s="145"/>
      <c r="X39" s="145"/>
      <c r="Y39" s="145"/>
      <c r="Z39" s="145"/>
      <c r="AA39" s="145"/>
    </row>
    <row r="40" spans="2:28" ht="15.6" thickTop="1" thickBot="1" x14ac:dyDescent="0.35">
      <c r="B40" s="965" t="s">
        <v>988</v>
      </c>
      <c r="C40" s="970" t="e">
        <f>MIRR(C32:AB32, 10%,'Hipóteses xerais (2)'!C33)</f>
        <v>#N/A</v>
      </c>
      <c r="D40" s="145"/>
      <c r="E40" s="969" t="e">
        <f>'Hipóteses Xerais'!$B$34</f>
        <v>#N/A</v>
      </c>
      <c r="F40" s="968"/>
      <c r="G40" s="968"/>
      <c r="H40" s="968"/>
      <c r="I40" s="968"/>
      <c r="J40" s="968"/>
      <c r="K40" s="968"/>
      <c r="L40" s="967"/>
      <c r="M40" s="145"/>
      <c r="N40" s="145"/>
      <c r="O40" s="145"/>
      <c r="P40" s="145"/>
      <c r="Q40" s="145"/>
      <c r="R40" s="145"/>
      <c r="S40" s="145"/>
      <c r="T40" s="145"/>
      <c r="U40" s="145"/>
      <c r="V40" s="145"/>
      <c r="W40" s="145"/>
      <c r="X40" s="145"/>
      <c r="Y40" s="145"/>
      <c r="Z40" s="145"/>
      <c r="AA40" s="145"/>
    </row>
    <row r="41" spans="2:28" ht="15.6" thickTop="1" thickBot="1" x14ac:dyDescent="0.35">
      <c r="B41" s="965" t="s">
        <v>987</v>
      </c>
      <c r="C41" s="966" t="e">
        <f>C29+NPV(5%,D29:AB29)</f>
        <v>#N/A</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row>
    <row r="42" spans="2:28" ht="15.6" thickTop="1" thickBot="1" x14ac:dyDescent="0.35">
      <c r="B42" s="965" t="s">
        <v>986</v>
      </c>
      <c r="C42" s="964" t="e">
        <f>(-C33)/AVERAGE(D33:AB33)</f>
        <v>#N/A</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row>
    <row r="43" spans="2:28" ht="15.6" thickTop="1" thickBot="1" x14ac:dyDescent="0.35">
      <c r="B43" s="965" t="s">
        <v>985</v>
      </c>
      <c r="C43" s="964" t="e">
        <f>(-C34)/AVERAGE(D34:AB34)</f>
        <v>#N/A</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row>
    <row r="44" spans="2:28" ht="15" thickTop="1" x14ac:dyDescent="0.3">
      <c r="B44" s="963" t="s">
        <v>984</v>
      </c>
      <c r="C44" s="962" t="e">
        <f>'Hipóteses xerais (2)'!$F$35</f>
        <v>#N/A</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2:28" x14ac:dyDescent="0.3">
      <c r="B45" s="963" t="s">
        <v>983</v>
      </c>
      <c r="C45" s="962" t="e">
        <f>IF('Hipóteses xerais (2)'!$E$64="Si",'Hipóteses xerais (2)'!$C$62,0)</f>
        <v>#N/A</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2:28" ht="15" thickBot="1" x14ac:dyDescent="0.35">
      <c r="B46" s="961" t="s">
        <v>982</v>
      </c>
      <c r="C46" s="960">
        <f>'x Financiamento'!$E$11</f>
        <v>0</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2:28" ht="15.6" thickTop="1" thickBot="1" x14ac:dyDescent="0.35">
      <c r="B47" s="710" t="s">
        <v>981</v>
      </c>
      <c r="C47" s="757" t="e">
        <f>SUM(C44:C46)</f>
        <v>#N/A</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row>
    <row r="48" spans="2:28" ht="15" thickTop="1" x14ac:dyDescent="0.3">
      <c r="B48" s="166"/>
      <c r="C48" s="713"/>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row>
    <row r="49" spans="2:27" ht="15" thickBot="1" x14ac:dyDescent="0.35">
      <c r="B49" s="166"/>
      <c r="C49" s="713"/>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row>
    <row r="50" spans="2:27" ht="15.6" thickTop="1" thickBot="1" x14ac:dyDescent="0.35">
      <c r="B50" s="710" t="s">
        <v>980</v>
      </c>
      <c r="C50" s="757" t="e">
        <f>'Hipóteses xerais (2)'!$C$91</f>
        <v>#N/A</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2:27" ht="15" thickTop="1" x14ac:dyDescent="0.3">
      <c r="B51" s="959" t="s">
        <v>979</v>
      </c>
      <c r="C51" s="713" t="e">
        <f>'Hipóteses xerais (2)'!$C$19</f>
        <v>#N/A</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2:27" ht="15" thickBot="1" x14ac:dyDescent="0.35">
      <c r="B52" s="958" t="s">
        <v>978</v>
      </c>
      <c r="C52" s="957" t="e">
        <f>'Hipóteses xerais (2)'!$C$74</f>
        <v>#N/A</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row>
    <row r="53" spans="2:27" ht="15" thickTop="1" x14ac:dyDescent="0.3"/>
  </sheetData>
  <dataValidations count="1">
    <dataValidation type="list" allowBlank="1" showDropDown="1" showInputMessage="1" showErrorMessage="1" sqref="E40" xr:uid="{B3E06988-B35D-4ED9-AAB8-036A5CC89623}">
      <formula1>"Si,Non"</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526D-04EC-4965-B6E2-900FE9D2E66B}">
  <dimension ref="A1:AB27"/>
  <sheetViews>
    <sheetView workbookViewId="0">
      <selection activeCell="F72" sqref="F72:AD72"/>
    </sheetView>
  </sheetViews>
  <sheetFormatPr baseColWidth="10" defaultRowHeight="14.4" x14ac:dyDescent="0.3"/>
  <cols>
    <col min="1" max="1" width="70.44140625" bestFit="1" customWidth="1"/>
    <col min="2" max="2" width="12.88671875" bestFit="1" customWidth="1"/>
    <col min="17" max="27" width="11.88671875" bestFit="1" customWidth="1"/>
    <col min="28" max="28" width="20.33203125" bestFit="1" customWidth="1"/>
  </cols>
  <sheetData>
    <row r="1" spans="1:28" ht="15" thickBot="1" x14ac:dyDescent="0.35"/>
    <row r="2" spans="1:28" ht="15" thickTop="1" x14ac:dyDescent="0.3">
      <c r="A2" s="555"/>
      <c r="B2" s="1055">
        <v>0</v>
      </c>
      <c r="C2" s="702">
        <v>1</v>
      </c>
      <c r="D2" s="702">
        <v>2</v>
      </c>
      <c r="E2" s="702">
        <v>3</v>
      </c>
      <c r="F2" s="702">
        <v>4</v>
      </c>
      <c r="G2" s="702">
        <v>5</v>
      </c>
      <c r="H2" s="702">
        <v>6</v>
      </c>
      <c r="I2" s="702">
        <v>7</v>
      </c>
      <c r="J2" s="702">
        <v>8</v>
      </c>
      <c r="K2" s="702">
        <v>9</v>
      </c>
      <c r="L2" s="702">
        <v>10</v>
      </c>
      <c r="M2" s="702">
        <v>11</v>
      </c>
      <c r="N2" s="702">
        <v>12</v>
      </c>
      <c r="O2" s="702">
        <v>13</v>
      </c>
      <c r="P2" s="702">
        <v>14</v>
      </c>
      <c r="Q2" s="702">
        <v>15</v>
      </c>
      <c r="R2" s="702">
        <v>16</v>
      </c>
      <c r="S2" s="702">
        <v>17</v>
      </c>
      <c r="T2" s="702">
        <v>18</v>
      </c>
      <c r="U2" s="702">
        <v>19</v>
      </c>
      <c r="V2" s="702">
        <v>20</v>
      </c>
      <c r="W2" s="702">
        <v>21</v>
      </c>
      <c r="X2" s="702">
        <v>22</v>
      </c>
      <c r="Y2" s="702">
        <v>23</v>
      </c>
      <c r="Z2" s="702">
        <v>24</v>
      </c>
      <c r="AA2" s="1054">
        <v>25</v>
      </c>
      <c r="AB2" s="1026" t="s">
        <v>1025</v>
      </c>
    </row>
    <row r="3" spans="1:28" ht="16.95" customHeight="1" thickBot="1" x14ac:dyDescent="0.35">
      <c r="A3" s="390" t="s">
        <v>1024</v>
      </c>
      <c r="B3" s="1053"/>
      <c r="C3" s="65">
        <f>'Conta explotación'!F$5</f>
        <v>2025</v>
      </c>
      <c r="D3" s="65">
        <f>'Conta explotación'!G$5</f>
        <v>2026</v>
      </c>
      <c r="E3" s="65">
        <f>'Conta explotación'!H$5</f>
        <v>2027</v>
      </c>
      <c r="F3" s="65">
        <f>'Conta explotación'!I$5</f>
        <v>2028</v>
      </c>
      <c r="G3" s="65">
        <f>'Conta explotación'!J$5</f>
        <v>2029</v>
      </c>
      <c r="H3" s="65">
        <f>'Conta explotación'!K$5</f>
        <v>2030</v>
      </c>
      <c r="I3" s="65">
        <f>'Conta explotación'!L$5</f>
        <v>2031</v>
      </c>
      <c r="J3" s="65">
        <f>'Conta explotación'!M$5</f>
        <v>2032</v>
      </c>
      <c r="K3" s="65">
        <f>'Conta explotación'!N$5</f>
        <v>2033</v>
      </c>
      <c r="L3" s="65">
        <f>'Conta explotación'!O$5</f>
        <v>2034</v>
      </c>
      <c r="M3" s="65">
        <f>'Conta explotación'!P$5</f>
        <v>2035</v>
      </c>
      <c r="N3" s="65">
        <f>'Conta explotación'!Q$5</f>
        <v>2036</v>
      </c>
      <c r="O3" s="65">
        <f>'Conta explotación'!R$5</f>
        <v>2037</v>
      </c>
      <c r="P3" s="65">
        <f>'Conta explotación'!S$5</f>
        <v>2038</v>
      </c>
      <c r="Q3" s="65">
        <f>'Conta explotación'!T$5</f>
        <v>2039</v>
      </c>
      <c r="R3" s="65">
        <f>'Conta explotación'!U$5</f>
        <v>2040</v>
      </c>
      <c r="S3" s="65">
        <f>'Conta explotación'!V$5</f>
        <v>2041</v>
      </c>
      <c r="T3" s="65">
        <f>'Conta explotación'!W$5</f>
        <v>2042</v>
      </c>
      <c r="U3" s="65">
        <f>'Conta explotación'!X$5</f>
        <v>2043</v>
      </c>
      <c r="V3" s="65">
        <f>'Conta explotación'!Y$5</f>
        <v>2044</v>
      </c>
      <c r="W3" s="65">
        <f>'Conta explotación'!Z$5</f>
        <v>2045</v>
      </c>
      <c r="X3" s="65">
        <f>'Conta explotación'!AA$5</f>
        <v>2046</v>
      </c>
      <c r="Y3" s="65">
        <f>'Conta explotación'!AB$5</f>
        <v>2047</v>
      </c>
      <c r="Z3" s="65">
        <f>'Conta explotación'!AC$5</f>
        <v>2048</v>
      </c>
      <c r="AA3" s="1052">
        <f>'Conta explotación'!AD$5</f>
        <v>2049</v>
      </c>
      <c r="AB3" s="1021" t="s">
        <v>1023</v>
      </c>
    </row>
    <row r="4" spans="1:28" ht="15" thickTop="1" x14ac:dyDescent="0.3">
      <c r="A4" s="658" t="s">
        <v>1039</v>
      </c>
      <c r="B4" s="1051">
        <v>0</v>
      </c>
      <c r="C4" s="1050" t="e">
        <f>'Conta explotación'!F6</f>
        <v>#N/A</v>
      </c>
      <c r="D4" s="656" t="e">
        <f>'Conta explotación'!G6</f>
        <v>#N/A</v>
      </c>
      <c r="E4" s="656" t="e">
        <f>'Conta explotación'!H6</f>
        <v>#N/A</v>
      </c>
      <c r="F4" s="656" t="e">
        <f>'Conta explotación'!I6</f>
        <v>#N/A</v>
      </c>
      <c r="G4" s="656" t="e">
        <f>'Conta explotación'!J6</f>
        <v>#N/A</v>
      </c>
      <c r="H4" s="656" t="e">
        <f>'Conta explotación'!K6</f>
        <v>#N/A</v>
      </c>
      <c r="I4" s="656" t="e">
        <f>'Conta explotación'!L6</f>
        <v>#N/A</v>
      </c>
      <c r="J4" s="656" t="e">
        <f>'Conta explotación'!M6</f>
        <v>#N/A</v>
      </c>
      <c r="K4" s="656" t="e">
        <f>'Conta explotación'!N6</f>
        <v>#N/A</v>
      </c>
      <c r="L4" s="656" t="e">
        <f>'Conta explotación'!O6</f>
        <v>#N/A</v>
      </c>
      <c r="M4" s="656" t="e">
        <f>'Conta explotación'!P6</f>
        <v>#N/A</v>
      </c>
      <c r="N4" s="656" t="e">
        <f>'Conta explotación'!Q6</f>
        <v>#N/A</v>
      </c>
      <c r="O4" s="656" t="e">
        <f>'Conta explotación'!R6</f>
        <v>#N/A</v>
      </c>
      <c r="P4" s="656" t="e">
        <f>'Conta explotación'!S6</f>
        <v>#N/A</v>
      </c>
      <c r="Q4" s="656" t="e">
        <f>'Conta explotación'!T6</f>
        <v>#N/A</v>
      </c>
      <c r="R4" s="656" t="e">
        <f>'Conta explotación'!U6</f>
        <v>#N/A</v>
      </c>
      <c r="S4" s="656" t="e">
        <f>'Conta explotación'!V6</f>
        <v>#N/A</v>
      </c>
      <c r="T4" s="656" t="e">
        <f>'Conta explotación'!W6</f>
        <v>#N/A</v>
      </c>
      <c r="U4" s="656" t="e">
        <f>'Conta explotación'!X6</f>
        <v>#N/A</v>
      </c>
      <c r="V4" s="656" t="e">
        <f>'Conta explotación'!Y6</f>
        <v>#N/A</v>
      </c>
      <c r="W4" s="656" t="e">
        <f>'Conta explotación'!Z6</f>
        <v>#N/A</v>
      </c>
      <c r="X4" s="656" t="e">
        <f>'Conta explotación'!AA6</f>
        <v>#N/A</v>
      </c>
      <c r="Y4" s="656" t="e">
        <f>'Conta explotación'!AB6</f>
        <v>#N/A</v>
      </c>
      <c r="Z4" s="656" t="e">
        <f>'Conta explotación'!AC6</f>
        <v>#N/A</v>
      </c>
      <c r="AA4" s="678" t="e">
        <f>'Conta explotación'!AD6</f>
        <v>#N/A</v>
      </c>
      <c r="AB4" s="1049" t="e">
        <f t="shared" ref="AB4:AB10" si="0">SUM(B4:AA4)</f>
        <v>#N/A</v>
      </c>
    </row>
    <row r="5" spans="1:28" x14ac:dyDescent="0.3">
      <c r="A5" s="1048" t="s">
        <v>1038</v>
      </c>
      <c r="B5" s="1047">
        <v>0</v>
      </c>
      <c r="C5" s="1046" t="e">
        <f>'Conta explotación'!F7</f>
        <v>#N/A</v>
      </c>
      <c r="D5" s="1045" t="e">
        <f>'Conta explotación'!G7</f>
        <v>#N/A</v>
      </c>
      <c r="E5" s="1045" t="e">
        <f>'Conta explotación'!H7</f>
        <v>#N/A</v>
      </c>
      <c r="F5" s="1045" t="e">
        <f>'Conta explotación'!I7</f>
        <v>#N/A</v>
      </c>
      <c r="G5" s="1045" t="e">
        <f>'Conta explotación'!J7</f>
        <v>#N/A</v>
      </c>
      <c r="H5" s="1045" t="e">
        <f>'Conta explotación'!K7</f>
        <v>#N/A</v>
      </c>
      <c r="I5" s="1045" t="e">
        <f>'Conta explotación'!L7</f>
        <v>#N/A</v>
      </c>
      <c r="J5" s="1045" t="e">
        <f>'Conta explotación'!M7</f>
        <v>#N/A</v>
      </c>
      <c r="K5" s="1045" t="e">
        <f>'Conta explotación'!N7</f>
        <v>#N/A</v>
      </c>
      <c r="L5" s="1045" t="e">
        <f>'Conta explotación'!O7</f>
        <v>#N/A</v>
      </c>
      <c r="M5" s="1045" t="e">
        <f>'Conta explotación'!P7</f>
        <v>#N/A</v>
      </c>
      <c r="N5" s="1045" t="e">
        <f>'Conta explotación'!Q7</f>
        <v>#N/A</v>
      </c>
      <c r="O5" s="1045" t="e">
        <f>'Conta explotación'!R7</f>
        <v>#N/A</v>
      </c>
      <c r="P5" s="1045" t="e">
        <f>'Conta explotación'!S7</f>
        <v>#N/A</v>
      </c>
      <c r="Q5" s="1045" t="e">
        <f>'Conta explotación'!T7</f>
        <v>#N/A</v>
      </c>
      <c r="R5" s="1045" t="e">
        <f>'Conta explotación'!U7</f>
        <v>#N/A</v>
      </c>
      <c r="S5" s="1045" t="e">
        <f>'Conta explotación'!V7</f>
        <v>#N/A</v>
      </c>
      <c r="T5" s="1045" t="e">
        <f>'Conta explotación'!W7</f>
        <v>#N/A</v>
      </c>
      <c r="U5" s="1045" t="e">
        <f>'Conta explotación'!X7</f>
        <v>#N/A</v>
      </c>
      <c r="V5" s="1045" t="e">
        <f>'Conta explotación'!Y7</f>
        <v>#N/A</v>
      </c>
      <c r="W5" s="1045" t="e">
        <f>'Conta explotación'!Z7</f>
        <v>#N/A</v>
      </c>
      <c r="X5" s="1045" t="e">
        <f>'Conta explotación'!AA7</f>
        <v>#N/A</v>
      </c>
      <c r="Y5" s="1045" t="e">
        <f>'Conta explotación'!AB7</f>
        <v>#N/A</v>
      </c>
      <c r="Z5" s="1045" t="e">
        <f>'Conta explotación'!AC7</f>
        <v>#N/A</v>
      </c>
      <c r="AA5" s="1045" t="e">
        <f>'Conta explotación'!AD7</f>
        <v>#N/A</v>
      </c>
      <c r="AB5" s="733" t="e">
        <f t="shared" si="0"/>
        <v>#N/A</v>
      </c>
    </row>
    <row r="6" spans="1:28" ht="15" thickBot="1" x14ac:dyDescent="0.35">
      <c r="A6" s="652" t="s">
        <v>1037</v>
      </c>
      <c r="B6" s="1047">
        <v>0</v>
      </c>
      <c r="C6" s="1046" t="e">
        <f>'Conta explotación'!F8</f>
        <v>#N/A</v>
      </c>
      <c r="D6" s="1045" t="e">
        <f>'Conta explotación'!G8</f>
        <v>#N/A</v>
      </c>
      <c r="E6" s="1045" t="e">
        <f>'Conta explotación'!H8</f>
        <v>#N/A</v>
      </c>
      <c r="F6" s="1045" t="e">
        <f>'Conta explotación'!I8</f>
        <v>#N/A</v>
      </c>
      <c r="G6" s="1045" t="e">
        <f>'Conta explotación'!J8</f>
        <v>#N/A</v>
      </c>
      <c r="H6" s="1045" t="e">
        <f>'Conta explotación'!K8</f>
        <v>#N/A</v>
      </c>
      <c r="I6" s="1045" t="e">
        <f>'Conta explotación'!L8</f>
        <v>#N/A</v>
      </c>
      <c r="J6" s="1045" t="e">
        <f>'Conta explotación'!M8</f>
        <v>#N/A</v>
      </c>
      <c r="K6" s="1045" t="e">
        <f>'Conta explotación'!N8</f>
        <v>#N/A</v>
      </c>
      <c r="L6" s="1045" t="e">
        <f>'Conta explotación'!O8</f>
        <v>#N/A</v>
      </c>
      <c r="M6" s="1045" t="e">
        <f>'Conta explotación'!P8</f>
        <v>#N/A</v>
      </c>
      <c r="N6" s="1045" t="e">
        <f>'Conta explotación'!Q8</f>
        <v>#N/A</v>
      </c>
      <c r="O6" s="1045" t="e">
        <f>'Conta explotación'!R8</f>
        <v>#N/A</v>
      </c>
      <c r="P6" s="1045" t="e">
        <f>'Conta explotación'!S8</f>
        <v>#N/A</v>
      </c>
      <c r="Q6" s="1045" t="e">
        <f>'Conta explotación'!T8</f>
        <v>#N/A</v>
      </c>
      <c r="R6" s="1045" t="e">
        <f>'Conta explotación'!U8</f>
        <v>#N/A</v>
      </c>
      <c r="S6" s="1045" t="e">
        <f>'Conta explotación'!V8</f>
        <v>#N/A</v>
      </c>
      <c r="T6" s="1045" t="e">
        <f>'Conta explotación'!W8</f>
        <v>#N/A</v>
      </c>
      <c r="U6" s="1045" t="e">
        <f>'Conta explotación'!X8</f>
        <v>#N/A</v>
      </c>
      <c r="V6" s="1045" t="e">
        <f>'Conta explotación'!Y8</f>
        <v>#N/A</v>
      </c>
      <c r="W6" s="1045" t="e">
        <f>'Conta explotación'!Z8</f>
        <v>#N/A</v>
      </c>
      <c r="X6" s="1045" t="e">
        <f>'Conta explotación'!AA8</f>
        <v>#N/A</v>
      </c>
      <c r="Y6" s="1045" t="e">
        <f>'Conta explotación'!AB8</f>
        <v>#N/A</v>
      </c>
      <c r="Z6" s="1045" t="e">
        <f>'Conta explotación'!AC8</f>
        <v>#N/A</v>
      </c>
      <c r="AA6" s="1045" t="e">
        <f>'Conta explotación'!AD8</f>
        <v>#N/A</v>
      </c>
      <c r="AB6" s="733" t="e">
        <f t="shared" si="0"/>
        <v>#N/A</v>
      </c>
    </row>
    <row r="7" spans="1:28" ht="16.8" thickBot="1" x14ac:dyDescent="0.5">
      <c r="A7" s="1044" t="s">
        <v>1036</v>
      </c>
      <c r="B7" s="1043">
        <f t="shared" ref="B7:AA7" si="1">SUM(B4:B6)</f>
        <v>0</v>
      </c>
      <c r="C7" s="1042" t="e">
        <f t="shared" si="1"/>
        <v>#N/A</v>
      </c>
      <c r="D7" s="1041" t="e">
        <f t="shared" si="1"/>
        <v>#N/A</v>
      </c>
      <c r="E7" s="1041" t="e">
        <f t="shared" si="1"/>
        <v>#N/A</v>
      </c>
      <c r="F7" s="1041" t="e">
        <f t="shared" si="1"/>
        <v>#N/A</v>
      </c>
      <c r="G7" s="1041" t="e">
        <f t="shared" si="1"/>
        <v>#N/A</v>
      </c>
      <c r="H7" s="1041" t="e">
        <f t="shared" si="1"/>
        <v>#N/A</v>
      </c>
      <c r="I7" s="1041" t="e">
        <f t="shared" si="1"/>
        <v>#N/A</v>
      </c>
      <c r="J7" s="1041" t="e">
        <f t="shared" si="1"/>
        <v>#N/A</v>
      </c>
      <c r="K7" s="1041" t="e">
        <f t="shared" si="1"/>
        <v>#N/A</v>
      </c>
      <c r="L7" s="1041" t="e">
        <f t="shared" si="1"/>
        <v>#N/A</v>
      </c>
      <c r="M7" s="1041" t="e">
        <f t="shared" si="1"/>
        <v>#N/A</v>
      </c>
      <c r="N7" s="1041" t="e">
        <f t="shared" si="1"/>
        <v>#N/A</v>
      </c>
      <c r="O7" s="1041" t="e">
        <f t="shared" si="1"/>
        <v>#N/A</v>
      </c>
      <c r="P7" s="1041" t="e">
        <f t="shared" si="1"/>
        <v>#N/A</v>
      </c>
      <c r="Q7" s="1041" t="e">
        <f t="shared" si="1"/>
        <v>#N/A</v>
      </c>
      <c r="R7" s="1041" t="e">
        <f t="shared" si="1"/>
        <v>#N/A</v>
      </c>
      <c r="S7" s="1041" t="e">
        <f t="shared" si="1"/>
        <v>#N/A</v>
      </c>
      <c r="T7" s="1041" t="e">
        <f t="shared" si="1"/>
        <v>#N/A</v>
      </c>
      <c r="U7" s="1041" t="e">
        <f t="shared" si="1"/>
        <v>#N/A</v>
      </c>
      <c r="V7" s="1041" t="e">
        <f t="shared" si="1"/>
        <v>#N/A</v>
      </c>
      <c r="W7" s="1041" t="e">
        <f t="shared" si="1"/>
        <v>#N/A</v>
      </c>
      <c r="X7" s="1041" t="e">
        <f t="shared" si="1"/>
        <v>#N/A</v>
      </c>
      <c r="Y7" s="1041" t="e">
        <f t="shared" si="1"/>
        <v>#N/A</v>
      </c>
      <c r="Z7" s="1041" t="e">
        <f t="shared" si="1"/>
        <v>#N/A</v>
      </c>
      <c r="AA7" s="1041" t="e">
        <f t="shared" si="1"/>
        <v>#N/A</v>
      </c>
      <c r="AB7" s="1040" t="e">
        <f t="shared" si="0"/>
        <v>#N/A</v>
      </c>
    </row>
    <row r="8" spans="1:28" x14ac:dyDescent="0.3">
      <c r="A8" s="658" t="s">
        <v>1035</v>
      </c>
      <c r="B8" s="1039" t="e">
        <f>-'Hipóteses xerais (2)'!$F$35</f>
        <v>#N/A</v>
      </c>
      <c r="C8" s="1038"/>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03" t="e">
        <f t="shared" si="0"/>
        <v>#N/A</v>
      </c>
    </row>
    <row r="9" spans="1:28" ht="15" thickBot="1" x14ac:dyDescent="0.35">
      <c r="A9" s="652" t="s">
        <v>1034</v>
      </c>
      <c r="B9" s="1039">
        <v>0</v>
      </c>
      <c r="C9" s="1038" t="e">
        <f>-'Conta explotación'!F13</f>
        <v>#N/A</v>
      </c>
      <c r="D9" s="1037" t="e">
        <f>-'Conta explotación'!G13</f>
        <v>#N/A</v>
      </c>
      <c r="E9" s="1037" t="e">
        <f>-'Conta explotación'!H13</f>
        <v>#N/A</v>
      </c>
      <c r="F9" s="1037" t="e">
        <f>-'Conta explotación'!I13</f>
        <v>#N/A</v>
      </c>
      <c r="G9" s="1037" t="e">
        <f>-'Conta explotación'!J13</f>
        <v>#N/A</v>
      </c>
      <c r="H9" s="1037" t="e">
        <f>-'Conta explotación'!K13</f>
        <v>#N/A</v>
      </c>
      <c r="I9" s="1037" t="e">
        <f>-'Conta explotación'!L13</f>
        <v>#N/A</v>
      </c>
      <c r="J9" s="1037" t="e">
        <f>-'Conta explotación'!M13</f>
        <v>#N/A</v>
      </c>
      <c r="K9" s="1037" t="e">
        <f>-'Conta explotación'!N13</f>
        <v>#N/A</v>
      </c>
      <c r="L9" s="1037" t="e">
        <f>-'Conta explotación'!O13</f>
        <v>#N/A</v>
      </c>
      <c r="M9" s="1037" t="e">
        <f>-'Conta explotación'!P13</f>
        <v>#N/A</v>
      </c>
      <c r="N9" s="1037" t="e">
        <f>-'Conta explotación'!Q13</f>
        <v>#N/A</v>
      </c>
      <c r="O9" s="1037" t="e">
        <f>-'Conta explotación'!R13</f>
        <v>#N/A</v>
      </c>
      <c r="P9" s="1037" t="e">
        <f>-'Conta explotación'!S13</f>
        <v>#N/A</v>
      </c>
      <c r="Q9" s="1037" t="e">
        <f>-'Conta explotación'!T13</f>
        <v>#N/A</v>
      </c>
      <c r="R9" s="1037" t="e">
        <f>-'Conta explotación'!U13</f>
        <v>#N/A</v>
      </c>
      <c r="S9" s="1037" t="e">
        <f>-'Conta explotación'!V13</f>
        <v>#N/A</v>
      </c>
      <c r="T9" s="1037" t="e">
        <f>-'Conta explotación'!W13</f>
        <v>#N/A</v>
      </c>
      <c r="U9" s="1037" t="e">
        <f>-'Conta explotación'!X13</f>
        <v>#N/A</v>
      </c>
      <c r="V9" s="1037" t="e">
        <f>-'Conta explotación'!Y13</f>
        <v>#N/A</v>
      </c>
      <c r="W9" s="1037" t="e">
        <f>-'Conta explotación'!Z13</f>
        <v>#N/A</v>
      </c>
      <c r="X9" s="1037" t="e">
        <f>-'Conta explotación'!AA13</f>
        <v>#N/A</v>
      </c>
      <c r="Y9" s="1037" t="e">
        <f>-'Conta explotación'!AB13</f>
        <v>#N/A</v>
      </c>
      <c r="Z9" s="1037" t="e">
        <f>-'Conta explotación'!AC13</f>
        <v>#N/A</v>
      </c>
      <c r="AA9" s="1037" t="e">
        <f>-'Conta explotación'!AD13</f>
        <v>#N/A</v>
      </c>
      <c r="AB9" s="1003" t="e">
        <f t="shared" si="0"/>
        <v>#N/A</v>
      </c>
    </row>
    <row r="10" spans="1:28" ht="16.8" thickBot="1" x14ac:dyDescent="0.35">
      <c r="A10" s="629" t="s">
        <v>1033</v>
      </c>
      <c r="B10" s="1036" t="e">
        <f t="shared" ref="B10:AA10" si="2">SUM(B8:B9)</f>
        <v>#N/A</v>
      </c>
      <c r="C10" s="1035" t="e">
        <f t="shared" si="2"/>
        <v>#N/A</v>
      </c>
      <c r="D10" s="1034" t="e">
        <f t="shared" si="2"/>
        <v>#N/A</v>
      </c>
      <c r="E10" s="1034" t="e">
        <f t="shared" si="2"/>
        <v>#N/A</v>
      </c>
      <c r="F10" s="1034" t="e">
        <f t="shared" si="2"/>
        <v>#N/A</v>
      </c>
      <c r="G10" s="1034" t="e">
        <f t="shared" si="2"/>
        <v>#N/A</v>
      </c>
      <c r="H10" s="1034" t="e">
        <f t="shared" si="2"/>
        <v>#N/A</v>
      </c>
      <c r="I10" s="1034" t="e">
        <f t="shared" si="2"/>
        <v>#N/A</v>
      </c>
      <c r="J10" s="1034" t="e">
        <f t="shared" si="2"/>
        <v>#N/A</v>
      </c>
      <c r="K10" s="1034" t="e">
        <f t="shared" si="2"/>
        <v>#N/A</v>
      </c>
      <c r="L10" s="1034" t="e">
        <f t="shared" si="2"/>
        <v>#N/A</v>
      </c>
      <c r="M10" s="1034" t="e">
        <f t="shared" si="2"/>
        <v>#N/A</v>
      </c>
      <c r="N10" s="1034" t="e">
        <f t="shared" si="2"/>
        <v>#N/A</v>
      </c>
      <c r="O10" s="1034" t="e">
        <f t="shared" si="2"/>
        <v>#N/A</v>
      </c>
      <c r="P10" s="1034" t="e">
        <f t="shared" si="2"/>
        <v>#N/A</v>
      </c>
      <c r="Q10" s="1034" t="e">
        <f t="shared" si="2"/>
        <v>#N/A</v>
      </c>
      <c r="R10" s="1034" t="e">
        <f t="shared" si="2"/>
        <v>#N/A</v>
      </c>
      <c r="S10" s="1034" t="e">
        <f t="shared" si="2"/>
        <v>#N/A</v>
      </c>
      <c r="T10" s="1034" t="e">
        <f t="shared" si="2"/>
        <v>#N/A</v>
      </c>
      <c r="U10" s="1034" t="e">
        <f t="shared" si="2"/>
        <v>#N/A</v>
      </c>
      <c r="V10" s="1034" t="e">
        <f t="shared" si="2"/>
        <v>#N/A</v>
      </c>
      <c r="W10" s="1034" t="e">
        <f t="shared" si="2"/>
        <v>#N/A</v>
      </c>
      <c r="X10" s="1034" t="e">
        <f t="shared" si="2"/>
        <v>#N/A</v>
      </c>
      <c r="Y10" s="1034" t="e">
        <f t="shared" si="2"/>
        <v>#N/A</v>
      </c>
      <c r="Z10" s="1034" t="e">
        <f t="shared" si="2"/>
        <v>#N/A</v>
      </c>
      <c r="AA10" s="1034" t="e">
        <f t="shared" si="2"/>
        <v>#N/A</v>
      </c>
      <c r="AB10" s="1033" t="e">
        <f t="shared" si="0"/>
        <v>#N/A</v>
      </c>
    </row>
    <row r="11" spans="1:28" ht="15" thickBot="1" x14ac:dyDescent="0.35">
      <c r="AB11" s="1032"/>
    </row>
    <row r="12" spans="1:28" ht="17.399999999999999" thickTop="1" thickBot="1" x14ac:dyDescent="0.5">
      <c r="A12" s="663" t="s">
        <v>1032</v>
      </c>
      <c r="B12" s="1031" t="e">
        <f t="shared" ref="B12:AA12" si="3">B7+B10</f>
        <v>#N/A</v>
      </c>
      <c r="C12" s="1030" t="e">
        <f t="shared" si="3"/>
        <v>#N/A</v>
      </c>
      <c r="D12" s="669" t="e">
        <f t="shared" si="3"/>
        <v>#N/A</v>
      </c>
      <c r="E12" s="669" t="e">
        <f t="shared" si="3"/>
        <v>#N/A</v>
      </c>
      <c r="F12" s="669" t="e">
        <f t="shared" si="3"/>
        <v>#N/A</v>
      </c>
      <c r="G12" s="669" t="e">
        <f t="shared" si="3"/>
        <v>#N/A</v>
      </c>
      <c r="H12" s="669" t="e">
        <f t="shared" si="3"/>
        <v>#N/A</v>
      </c>
      <c r="I12" s="669" t="e">
        <f t="shared" si="3"/>
        <v>#N/A</v>
      </c>
      <c r="J12" s="669" t="e">
        <f t="shared" si="3"/>
        <v>#N/A</v>
      </c>
      <c r="K12" s="669" t="e">
        <f t="shared" si="3"/>
        <v>#N/A</v>
      </c>
      <c r="L12" s="669" t="e">
        <f t="shared" si="3"/>
        <v>#N/A</v>
      </c>
      <c r="M12" s="669" t="e">
        <f t="shared" si="3"/>
        <v>#N/A</v>
      </c>
      <c r="N12" s="669" t="e">
        <f t="shared" si="3"/>
        <v>#N/A</v>
      </c>
      <c r="O12" s="669" t="e">
        <f t="shared" si="3"/>
        <v>#N/A</v>
      </c>
      <c r="P12" s="669" t="e">
        <f t="shared" si="3"/>
        <v>#N/A</v>
      </c>
      <c r="Q12" s="669" t="e">
        <f t="shared" si="3"/>
        <v>#N/A</v>
      </c>
      <c r="R12" s="669" t="e">
        <f t="shared" si="3"/>
        <v>#N/A</v>
      </c>
      <c r="S12" s="669" t="e">
        <f t="shared" si="3"/>
        <v>#N/A</v>
      </c>
      <c r="T12" s="669" t="e">
        <f t="shared" si="3"/>
        <v>#N/A</v>
      </c>
      <c r="U12" s="669" t="e">
        <f t="shared" si="3"/>
        <v>#N/A</v>
      </c>
      <c r="V12" s="669" t="e">
        <f t="shared" si="3"/>
        <v>#N/A</v>
      </c>
      <c r="W12" s="669" t="e">
        <f t="shared" si="3"/>
        <v>#N/A</v>
      </c>
      <c r="X12" s="669" t="e">
        <f t="shared" si="3"/>
        <v>#N/A</v>
      </c>
      <c r="Y12" s="669" t="e">
        <f t="shared" si="3"/>
        <v>#N/A</v>
      </c>
      <c r="Z12" s="669" t="e">
        <f t="shared" si="3"/>
        <v>#N/A</v>
      </c>
      <c r="AA12" s="669" t="e">
        <f t="shared" si="3"/>
        <v>#N/A</v>
      </c>
      <c r="AB12" s="1029" t="e">
        <f>SUM(B12:AA12)</f>
        <v>#N/A</v>
      </c>
    </row>
    <row r="13" spans="1:28" ht="15" thickBot="1" x14ac:dyDescent="0.35">
      <c r="A13" s="8" t="s">
        <v>1031</v>
      </c>
      <c r="B13" s="145" t="e">
        <f>B12/((1+'Hipóteses xerais (2)'!$C$33)^B$2)</f>
        <v>#N/A</v>
      </c>
      <c r="C13" s="145" t="e">
        <f>C12/((1+'Hipóteses xerais (2)'!$C$33)^C$2)</f>
        <v>#N/A</v>
      </c>
      <c r="D13" s="145" t="e">
        <f>D12/((1+'Hipóteses xerais (2)'!$C$33)^D$2)</f>
        <v>#N/A</v>
      </c>
      <c r="E13" s="145" t="e">
        <f>E12/((1+'Hipóteses xerais (2)'!$C$33)^E$2)</f>
        <v>#N/A</v>
      </c>
      <c r="F13" s="145" t="e">
        <f>F12/((1+'Hipóteses xerais (2)'!$C$33)^F$2)</f>
        <v>#N/A</v>
      </c>
      <c r="G13" s="145" t="e">
        <f>G12/((1+'Hipóteses xerais (2)'!$C$33)^G$2)</f>
        <v>#N/A</v>
      </c>
      <c r="H13" s="145" t="e">
        <f>H12/((1+'Hipóteses xerais (2)'!$C$33)^H$2)</f>
        <v>#N/A</v>
      </c>
      <c r="I13" s="145" t="e">
        <f>I12/((1+'Hipóteses xerais (2)'!$C$33)^I$2)</f>
        <v>#N/A</v>
      </c>
      <c r="J13" s="145" t="e">
        <f>J12/((1+'Hipóteses xerais (2)'!$C$33)^J$2)</f>
        <v>#N/A</v>
      </c>
      <c r="K13" s="145" t="e">
        <f>K12/((1+'Hipóteses xerais (2)'!$C$33)^K$2)</f>
        <v>#N/A</v>
      </c>
      <c r="L13" s="145" t="e">
        <f>L12/((1+'Hipóteses xerais (2)'!$C$33)^L$2)</f>
        <v>#N/A</v>
      </c>
      <c r="M13" s="145" t="e">
        <f>M12/((1+'Hipóteses xerais (2)'!$C$33)^M$2)</f>
        <v>#N/A</v>
      </c>
      <c r="N13" s="145" t="e">
        <f>N12/((1+'Hipóteses xerais (2)'!$C$33)^N$2)</f>
        <v>#N/A</v>
      </c>
      <c r="O13" s="145" t="e">
        <f>O12/((1+'Hipóteses xerais (2)'!$C$33)^O$2)</f>
        <v>#N/A</v>
      </c>
      <c r="P13" s="145" t="e">
        <f>P12/((1+'Hipóteses xerais (2)'!$C$33)^P$2)</f>
        <v>#N/A</v>
      </c>
      <c r="Q13" s="145" t="e">
        <f>Q12/((1+'Hipóteses xerais (2)'!$C$33)^Q$2)</f>
        <v>#N/A</v>
      </c>
      <c r="R13" s="145" t="e">
        <f>R12/((1+'Hipóteses xerais (2)'!$C$33)^R$2)</f>
        <v>#N/A</v>
      </c>
      <c r="S13" s="145" t="e">
        <f>S12/((1+'Hipóteses xerais (2)'!$C$33)^S$2)</f>
        <v>#N/A</v>
      </c>
      <c r="T13" s="145" t="e">
        <f>T12/((1+'Hipóteses xerais (2)'!$C$33)^T$2)</f>
        <v>#N/A</v>
      </c>
      <c r="U13" s="145" t="e">
        <f>U12/((1+'Hipóteses xerais (2)'!$C$33)^U$2)</f>
        <v>#N/A</v>
      </c>
      <c r="V13" s="145" t="e">
        <f>V12/((1+'Hipóteses xerais (2)'!$C$33)^V$2)</f>
        <v>#N/A</v>
      </c>
      <c r="W13" s="145" t="e">
        <f>W12/((1+'Hipóteses xerais (2)'!$C$33)^W$2)</f>
        <v>#N/A</v>
      </c>
      <c r="X13" s="145" t="e">
        <f>X12/((1+'Hipóteses xerais (2)'!$C$33)^X$2)</f>
        <v>#N/A</v>
      </c>
      <c r="Y13" s="145" t="e">
        <f>Y12/((1+'Hipóteses xerais (2)'!$C$33)^Y$2)</f>
        <v>#N/A</v>
      </c>
      <c r="Z13" s="145" t="e">
        <f>Z12/((1+'Hipóteses xerais (2)'!$C$33)^Z$2)</f>
        <v>#N/A</v>
      </c>
      <c r="AA13" s="145" t="e">
        <f>AA12/((1+'Hipóteses xerais (2)'!$C$33)^AA$2)</f>
        <v>#N/A</v>
      </c>
      <c r="AB13" s="1028" t="e">
        <f>SUM(B13:AA13)</f>
        <v>#N/A</v>
      </c>
    </row>
    <row r="14" spans="1:28" ht="15" thickTop="1" x14ac:dyDescent="0.3"/>
    <row r="15" spans="1:28" ht="15" thickBot="1" x14ac:dyDescent="0.35"/>
    <row r="16" spans="1:28" ht="15.6" thickTop="1" thickBot="1" x14ac:dyDescent="0.35">
      <c r="A16" s="965" t="s">
        <v>1030</v>
      </c>
      <c r="B16" s="970" t="e">
        <f>IRR(B12:AA12)</f>
        <v>#VALUE!</v>
      </c>
    </row>
    <row r="17" spans="1:2" ht="15.6" thickTop="1" thickBot="1" x14ac:dyDescent="0.35">
      <c r="A17" s="965" t="s">
        <v>988</v>
      </c>
      <c r="B17" s="970" t="e">
        <f>MIRR(B12:AA12,'Hipóteses xerais (2)'!$C$33,'Hipóteses xerais (2)'!$C$33)</f>
        <v>#N/A</v>
      </c>
    </row>
    <row r="18" spans="1:2" ht="15.6" thickTop="1" thickBot="1" x14ac:dyDescent="0.35">
      <c r="A18" s="965" t="s">
        <v>1029</v>
      </c>
      <c r="B18" s="966" t="e">
        <f>NPV(5%,B12:AA12)</f>
        <v>#N/A</v>
      </c>
    </row>
    <row r="19" spans="1:2" ht="15.6" thickTop="1" thickBot="1" x14ac:dyDescent="0.35">
      <c r="A19" s="965" t="s">
        <v>986</v>
      </c>
      <c r="B19" s="707" t="e">
        <f>-$B$13/AVERAGE(C13:AA13)</f>
        <v>#N/A</v>
      </c>
    </row>
    <row r="20" spans="1:2" ht="15" thickTop="1" x14ac:dyDescent="0.3">
      <c r="A20" s="963" t="s">
        <v>984</v>
      </c>
      <c r="B20" s="1027" t="e">
        <f>'Hipóteses xerais (2)'!$F$35</f>
        <v>#N/A</v>
      </c>
    </row>
    <row r="21" spans="1:2" x14ac:dyDescent="0.3">
      <c r="A21" s="963" t="s">
        <v>1028</v>
      </c>
      <c r="B21" s="962" t="e">
        <f>IF('Hipóteses xerais (2)'!$E$64="Si",'Hipóteses xerais (2)'!$C$62,0)</f>
        <v>#N/A</v>
      </c>
    </row>
    <row r="22" spans="1:2" ht="15" thickBot="1" x14ac:dyDescent="0.35">
      <c r="A22" s="961" t="s">
        <v>1027</v>
      </c>
      <c r="B22" s="960">
        <f>'x Financiamento'!$E$11</f>
        <v>0</v>
      </c>
    </row>
    <row r="23" spans="1:2" ht="15.6" thickTop="1" thickBot="1" x14ac:dyDescent="0.35">
      <c r="A23" s="710" t="s">
        <v>981</v>
      </c>
      <c r="B23" s="757" t="e">
        <f>SUM(B20:B22)</f>
        <v>#N/A</v>
      </c>
    </row>
    <row r="24" spans="1:2" ht="15.6" thickTop="1" thickBot="1" x14ac:dyDescent="0.35">
      <c r="A24" s="710" t="s">
        <v>980</v>
      </c>
      <c r="B24" s="757" t="e">
        <f>'Hipóteses xerais (2)'!$C$91</f>
        <v>#N/A</v>
      </c>
    </row>
    <row r="25" spans="1:2" ht="15" thickTop="1" x14ac:dyDescent="0.3">
      <c r="A25" s="959" t="s">
        <v>979</v>
      </c>
      <c r="B25" s="713" t="e">
        <f>'Hipóteses xerais (2)'!$C$19</f>
        <v>#N/A</v>
      </c>
    </row>
    <row r="26" spans="1:2" ht="15" thickBot="1" x14ac:dyDescent="0.35">
      <c r="A26" s="958" t="s">
        <v>978</v>
      </c>
      <c r="B26" s="957" t="e">
        <f>'Hipóteses xerais (2)'!$C$74</f>
        <v>#N/A</v>
      </c>
    </row>
    <row r="27" spans="1:2" ht="15" thickTop="1"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9F1C-5A8A-48FF-ABA5-CADB450E9DC8}">
  <sheetPr>
    <tabColor rgb="FF7030A0"/>
  </sheetPr>
  <dimension ref="A1:K15"/>
  <sheetViews>
    <sheetView workbookViewId="0">
      <selection activeCell="B9" sqref="B9"/>
    </sheetView>
  </sheetViews>
  <sheetFormatPr baseColWidth="10" defaultColWidth="8.77734375" defaultRowHeight="14.4" x14ac:dyDescent="0.3"/>
  <cols>
    <col min="1" max="1" width="36.44140625" bestFit="1" customWidth="1"/>
    <col min="2" max="2" width="13.44140625" bestFit="1" customWidth="1"/>
    <col min="3" max="3" width="14.5546875" bestFit="1" customWidth="1"/>
    <col min="4" max="4" width="22" customWidth="1"/>
    <col min="5" max="5" width="16.77734375" customWidth="1"/>
  </cols>
  <sheetData>
    <row r="1" spans="1:11" ht="15" thickBot="1" x14ac:dyDescent="0.35"/>
    <row r="2" spans="1:11" x14ac:dyDescent="0.3">
      <c r="A2" s="804" t="s">
        <v>792</v>
      </c>
      <c r="B2" s="1085">
        <f>'General Real Data (Obs.)'!$E$59</f>
        <v>25</v>
      </c>
      <c r="D2" s="1084" t="s">
        <v>1053</v>
      </c>
      <c r="E2" s="1083"/>
      <c r="F2" s="1083"/>
      <c r="G2" s="1083"/>
      <c r="H2" s="1083"/>
      <c r="I2" s="1083"/>
      <c r="J2" s="1083"/>
      <c r="K2" s="1082"/>
    </row>
    <row r="3" spans="1:11" x14ac:dyDescent="0.3">
      <c r="A3" s="797" t="s">
        <v>1052</v>
      </c>
      <c r="B3" s="1081">
        <f>'General Real Data (Obs.)'!$D$209</f>
        <v>70150</v>
      </c>
      <c r="D3" s="680" t="s">
        <v>1051</v>
      </c>
      <c r="E3" s="679"/>
      <c r="F3" s="679"/>
      <c r="G3" s="679"/>
      <c r="H3" s="679"/>
      <c r="I3" s="679"/>
      <c r="J3" s="679"/>
      <c r="K3" s="845"/>
    </row>
    <row r="4" spans="1:11" ht="15" thickBot="1" x14ac:dyDescent="0.35">
      <c r="A4" s="937" t="s">
        <v>1050</v>
      </c>
      <c r="B4" s="1080">
        <f>B3/B2</f>
        <v>2806</v>
      </c>
    </row>
    <row r="5" spans="1:11" ht="15" thickBot="1" x14ac:dyDescent="0.35">
      <c r="A5" s="624" t="s">
        <v>1049</v>
      </c>
      <c r="B5" s="1079">
        <f>B4/B3</f>
        <v>0.04</v>
      </c>
    </row>
    <row r="6" spans="1:11" ht="15" thickBot="1" x14ac:dyDescent="0.35"/>
    <row r="7" spans="1:11" s="10" customFormat="1" ht="29.4" thickBot="1" x14ac:dyDescent="0.35">
      <c r="B7" s="811" t="s">
        <v>1048</v>
      </c>
      <c r="C7" s="1078" t="s">
        <v>1047</v>
      </c>
      <c r="D7" s="1077" t="s">
        <v>1046</v>
      </c>
      <c r="E7" s="1076" t="s">
        <v>1045</v>
      </c>
    </row>
    <row r="8" spans="1:11" x14ac:dyDescent="0.3">
      <c r="A8" s="639" t="s">
        <v>1795</v>
      </c>
      <c r="B8" s="1075">
        <f>'General Real Data (Obs.)'!$E$228/1000</f>
        <v>89.32</v>
      </c>
      <c r="C8" s="1074">
        <f>SUM(C9:C11)</f>
        <v>6624.2250000000004</v>
      </c>
      <c r="D8" s="1073">
        <f t="shared" ref="D8:E11" si="0">$B$5*B8</f>
        <v>3.5728</v>
      </c>
      <c r="E8" s="1072">
        <f>$B$5*C8</f>
        <v>264.96899999999999</v>
      </c>
    </row>
    <row r="9" spans="1:11" x14ac:dyDescent="0.3">
      <c r="A9" s="1071" t="s">
        <v>1796</v>
      </c>
      <c r="B9" s="1069">
        <f>'General Real Data (Obs.)'!E229/1000</f>
        <v>44.161499999999997</v>
      </c>
      <c r="C9" s="1068">
        <f>'General Real Data (Obs.)'!E229*'General Real Data (Obs.)'!E236</f>
        <v>4416.1500000000005</v>
      </c>
      <c r="D9" s="1067">
        <f t="shared" si="0"/>
        <v>1.7664599999999999</v>
      </c>
      <c r="E9" s="1066">
        <f t="shared" si="0"/>
        <v>176.64600000000002</v>
      </c>
    </row>
    <row r="10" spans="1:11" ht="28.8" x14ac:dyDescent="0.3">
      <c r="A10" s="1070" t="s">
        <v>1798</v>
      </c>
      <c r="B10" s="1069">
        <f>'General Real Data (Obs.)'!E230/1000</f>
        <v>44.161499999999997</v>
      </c>
      <c r="C10" s="1068">
        <f>'General Real Data (Obs.)'!E230*'General Real Data (Obs.)'!E237</f>
        <v>2208.0750000000003</v>
      </c>
      <c r="D10" s="1067">
        <f t="shared" si="0"/>
        <v>1.7664599999999999</v>
      </c>
      <c r="E10" s="1066">
        <f t="shared" si="0"/>
        <v>88.323000000000008</v>
      </c>
    </row>
    <row r="11" spans="1:11" ht="29.4" thickBot="1" x14ac:dyDescent="0.35">
      <c r="A11" s="1065" t="s">
        <v>1797</v>
      </c>
      <c r="B11" s="1064">
        <f>'General Real Data (Obs.)'!E231/1000</f>
        <v>0</v>
      </c>
      <c r="C11" s="1063">
        <f>'General Real Data (Obs.)'!E231*'General Real Data (Obs.)'!E238</f>
        <v>0</v>
      </c>
      <c r="D11" s="1062">
        <f t="shared" si="0"/>
        <v>0</v>
      </c>
      <c r="E11" s="1061">
        <f t="shared" si="0"/>
        <v>0</v>
      </c>
    </row>
    <row r="12" spans="1:11" ht="15" thickBot="1" x14ac:dyDescent="0.35"/>
    <row r="13" spans="1:11" ht="15" thickBot="1" x14ac:dyDescent="0.35">
      <c r="A13" s="13" t="s">
        <v>1044</v>
      </c>
      <c r="C13" s="624" t="s">
        <v>1043</v>
      </c>
      <c r="D13" s="622" t="s">
        <v>1042</v>
      </c>
    </row>
    <row r="14" spans="1:11" x14ac:dyDescent="0.3">
      <c r="A14" s="658" t="s">
        <v>1041</v>
      </c>
      <c r="B14" s="1060"/>
      <c r="C14" s="1059">
        <f>'General Real Data (Obs.)'!E241</f>
        <v>0</v>
      </c>
      <c r="D14" s="896">
        <f>C14*$B$5</f>
        <v>0</v>
      </c>
    </row>
    <row r="15" spans="1:11" ht="15" thickBot="1" x14ac:dyDescent="0.35">
      <c r="A15" s="652" t="s">
        <v>1040</v>
      </c>
      <c r="B15" s="1058"/>
      <c r="C15" s="1057">
        <f>'General Real Data (Obs.)'!E242</f>
        <v>0</v>
      </c>
      <c r="D15" s="1056">
        <f>C15*$B$5</f>
        <v>0</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8911-FB38-4A7E-B4F6-0D9671549A65}">
  <dimension ref="A1:AC34"/>
  <sheetViews>
    <sheetView workbookViewId="0">
      <pane xSplit="4" ySplit="11" topLeftCell="E12" activePane="bottomRight" state="frozen"/>
      <selection activeCell="F72" sqref="F72:AD72"/>
      <selection pane="topRight" activeCell="F72" sqref="F72:AD72"/>
      <selection pane="bottomLeft" activeCell="F72" sqref="F72:AD72"/>
      <selection pane="bottomRight" activeCell="F72" sqref="F72:AD72"/>
    </sheetView>
  </sheetViews>
  <sheetFormatPr baseColWidth="10" defaultColWidth="11.5546875" defaultRowHeight="14.4" x14ac:dyDescent="0.3"/>
  <cols>
    <col min="1" max="1" width="54.33203125" customWidth="1"/>
    <col min="2" max="2" width="11.77734375" bestFit="1" customWidth="1"/>
    <col min="3" max="25" width="11.5546875" bestFit="1" customWidth="1"/>
    <col min="26" max="26" width="12.77734375" customWidth="1"/>
    <col min="27" max="27" width="16.77734375" bestFit="1" customWidth="1"/>
  </cols>
  <sheetData>
    <row r="1" spans="1:29" ht="15.6" thickTop="1" thickBot="1" x14ac:dyDescent="0.35">
      <c r="B1" s="1122">
        <v>1</v>
      </c>
      <c r="C1" s="1121">
        <v>2</v>
      </c>
      <c r="D1" s="1121">
        <v>3</v>
      </c>
      <c r="E1" s="1121">
        <v>4</v>
      </c>
      <c r="F1" s="1121">
        <v>5</v>
      </c>
      <c r="G1" s="1121">
        <v>6</v>
      </c>
      <c r="H1" s="1121">
        <v>7</v>
      </c>
      <c r="I1" s="1121">
        <v>8</v>
      </c>
      <c r="J1" s="1121">
        <v>9</v>
      </c>
      <c r="K1" s="1121">
        <v>10</v>
      </c>
      <c r="L1" s="1121">
        <v>11</v>
      </c>
      <c r="M1" s="1121">
        <v>12</v>
      </c>
      <c r="N1" s="1121">
        <v>13</v>
      </c>
      <c r="O1" s="1121">
        <v>14</v>
      </c>
      <c r="P1" s="1121">
        <v>15</v>
      </c>
      <c r="Q1" s="1121">
        <v>16</v>
      </c>
      <c r="R1" s="1121">
        <v>17</v>
      </c>
      <c r="S1" s="1121">
        <v>18</v>
      </c>
      <c r="T1" s="1121">
        <v>19</v>
      </c>
      <c r="U1" s="1121">
        <v>20</v>
      </c>
      <c r="V1" s="1121">
        <v>21</v>
      </c>
      <c r="W1" s="1121">
        <v>22</v>
      </c>
      <c r="X1" s="1121">
        <v>23</v>
      </c>
      <c r="Y1" s="1121">
        <v>24</v>
      </c>
      <c r="Z1" s="1121">
        <v>25</v>
      </c>
      <c r="AA1" s="1120" t="s">
        <v>1067</v>
      </c>
    </row>
    <row r="2" spans="1:29" ht="15" thickBot="1" x14ac:dyDescent="0.35">
      <c r="B2" s="1119">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18" t="s">
        <v>1066</v>
      </c>
    </row>
    <row r="3" spans="1:29" x14ac:dyDescent="0.3">
      <c r="A3" s="804" t="s">
        <v>1071</v>
      </c>
      <c r="B3" s="1126" t="e">
        <f>'Conta explotación'!F6</f>
        <v>#N/A</v>
      </c>
      <c r="C3" s="1126" t="e">
        <f>'Conta explotación'!G6</f>
        <v>#N/A</v>
      </c>
      <c r="D3" s="1126" t="e">
        <f>'Conta explotación'!H6</f>
        <v>#N/A</v>
      </c>
      <c r="E3" s="1126" t="e">
        <f>'Conta explotación'!I6</f>
        <v>#N/A</v>
      </c>
      <c r="F3" s="1126" t="e">
        <f>'Conta explotación'!J6</f>
        <v>#N/A</v>
      </c>
      <c r="G3" s="1126" t="e">
        <f>'Conta explotación'!K6</f>
        <v>#N/A</v>
      </c>
      <c r="H3" s="1126" t="e">
        <f>'Conta explotación'!L6</f>
        <v>#N/A</v>
      </c>
      <c r="I3" s="1126" t="e">
        <f>'Conta explotación'!M6</f>
        <v>#N/A</v>
      </c>
      <c r="J3" s="1126" t="e">
        <f>'Conta explotación'!N6</f>
        <v>#N/A</v>
      </c>
      <c r="K3" s="1126" t="e">
        <f>'Conta explotación'!O6</f>
        <v>#N/A</v>
      </c>
      <c r="L3" s="1126" t="e">
        <f>'Conta explotación'!P6</f>
        <v>#N/A</v>
      </c>
      <c r="M3" s="1126" t="e">
        <f>'Conta explotación'!Q6</f>
        <v>#N/A</v>
      </c>
      <c r="N3" s="1126" t="e">
        <f>'Conta explotación'!R6</f>
        <v>#N/A</v>
      </c>
      <c r="O3" s="1126" t="e">
        <f>'Conta explotación'!S6</f>
        <v>#N/A</v>
      </c>
      <c r="P3" s="1126" t="e">
        <f>'Conta explotación'!T6</f>
        <v>#N/A</v>
      </c>
      <c r="Q3" s="1126" t="e">
        <f>'Conta explotación'!U6</f>
        <v>#N/A</v>
      </c>
      <c r="R3" s="1126" t="e">
        <f>'Conta explotación'!V6</f>
        <v>#N/A</v>
      </c>
      <c r="S3" s="1126" t="e">
        <f>'Conta explotación'!W6</f>
        <v>#N/A</v>
      </c>
      <c r="T3" s="1126" t="e">
        <f>'Conta explotación'!X6</f>
        <v>#N/A</v>
      </c>
      <c r="U3" s="1126" t="e">
        <f>'Conta explotación'!Y6</f>
        <v>#N/A</v>
      </c>
      <c r="V3" s="1126" t="e">
        <f>'Conta explotación'!Z6</f>
        <v>#N/A</v>
      </c>
      <c r="W3" s="1126" t="e">
        <f>'Conta explotación'!AA6</f>
        <v>#N/A</v>
      </c>
      <c r="X3" s="1126" t="e">
        <f>'Conta explotación'!AB6</f>
        <v>#N/A</v>
      </c>
      <c r="Y3" s="1126" t="e">
        <f>'Conta explotación'!AC6</f>
        <v>#N/A</v>
      </c>
      <c r="Z3" s="1126" t="e">
        <f>'Conta explotación'!AD6</f>
        <v>#N/A</v>
      </c>
      <c r="AA3" s="1125" t="e">
        <f>SUM(B3:Z3)</f>
        <v>#N/A</v>
      </c>
    </row>
    <row r="4" spans="1:29" x14ac:dyDescent="0.3">
      <c r="A4" s="797" t="s">
        <v>1070</v>
      </c>
      <c r="B4" s="1124" t="e">
        <f>'Conta explotación'!F7</f>
        <v>#N/A</v>
      </c>
      <c r="C4" s="1124" t="e">
        <f>'Conta explotación'!G7</f>
        <v>#N/A</v>
      </c>
      <c r="D4" s="1124" t="e">
        <f>'Conta explotación'!H7</f>
        <v>#N/A</v>
      </c>
      <c r="E4" s="1124" t="e">
        <f>'Conta explotación'!I7</f>
        <v>#N/A</v>
      </c>
      <c r="F4" s="1124" t="e">
        <f>'Conta explotación'!J7</f>
        <v>#N/A</v>
      </c>
      <c r="G4" s="1124" t="e">
        <f>'Conta explotación'!K7</f>
        <v>#N/A</v>
      </c>
      <c r="H4" s="1124" t="e">
        <f>'Conta explotación'!L7</f>
        <v>#N/A</v>
      </c>
      <c r="I4" s="1124" t="e">
        <f>'Conta explotación'!M7</f>
        <v>#N/A</v>
      </c>
      <c r="J4" s="1124" t="e">
        <f>'Conta explotación'!N7</f>
        <v>#N/A</v>
      </c>
      <c r="K4" s="1124" t="e">
        <f>'Conta explotación'!O7</f>
        <v>#N/A</v>
      </c>
      <c r="L4" s="1124" t="e">
        <f>'Conta explotación'!P7</f>
        <v>#N/A</v>
      </c>
      <c r="M4" s="1124" t="e">
        <f>'Conta explotación'!Q7</f>
        <v>#N/A</v>
      </c>
      <c r="N4" s="1124" t="e">
        <f>'Conta explotación'!R7</f>
        <v>#N/A</v>
      </c>
      <c r="O4" s="1124" t="e">
        <f>'Conta explotación'!S7</f>
        <v>#N/A</v>
      </c>
      <c r="P4" s="1124" t="e">
        <f>'Conta explotación'!T7</f>
        <v>#N/A</v>
      </c>
      <c r="Q4" s="1124" t="e">
        <f>'Conta explotación'!U7</f>
        <v>#N/A</v>
      </c>
      <c r="R4" s="1124" t="e">
        <f>'Conta explotación'!V7</f>
        <v>#N/A</v>
      </c>
      <c r="S4" s="1124" t="e">
        <f>'Conta explotación'!W7</f>
        <v>#N/A</v>
      </c>
      <c r="T4" s="1124" t="e">
        <f>'Conta explotación'!X7</f>
        <v>#N/A</v>
      </c>
      <c r="U4" s="1124" t="e">
        <f>'Conta explotación'!Y7</f>
        <v>#N/A</v>
      </c>
      <c r="V4" s="1124" t="e">
        <f>'Conta explotación'!Z7</f>
        <v>#N/A</v>
      </c>
      <c r="W4" s="1124" t="e">
        <f>'Conta explotación'!AA7</f>
        <v>#N/A</v>
      </c>
      <c r="X4" s="1124" t="e">
        <f>'Conta explotación'!AB7</f>
        <v>#N/A</v>
      </c>
      <c r="Y4" s="1124" t="e">
        <f>'Conta explotación'!AC7</f>
        <v>#N/A</v>
      </c>
      <c r="Z4" s="1124" t="e">
        <f>'Conta explotación'!AD7</f>
        <v>#N/A</v>
      </c>
      <c r="AA4" s="1066" t="e">
        <f>SUM(B4:Z4)</f>
        <v>#N/A</v>
      </c>
    </row>
    <row r="5" spans="1:29" x14ac:dyDescent="0.3">
      <c r="A5" s="797" t="s">
        <v>1069</v>
      </c>
      <c r="B5" s="1124" t="e">
        <f>'Conta explotación'!F8</f>
        <v>#N/A</v>
      </c>
      <c r="C5" s="1124" t="e">
        <f>'Conta explotación'!G8</f>
        <v>#N/A</v>
      </c>
      <c r="D5" s="1124" t="e">
        <f>'Conta explotación'!H8</f>
        <v>#N/A</v>
      </c>
      <c r="E5" s="1124" t="e">
        <f>'Conta explotación'!I8</f>
        <v>#N/A</v>
      </c>
      <c r="F5" s="1124" t="e">
        <f>'Conta explotación'!J8</f>
        <v>#N/A</v>
      </c>
      <c r="G5" s="1124" t="e">
        <f>'Conta explotación'!K8</f>
        <v>#N/A</v>
      </c>
      <c r="H5" s="1124" t="e">
        <f>'Conta explotación'!L8</f>
        <v>#N/A</v>
      </c>
      <c r="I5" s="1124" t="e">
        <f>'Conta explotación'!M8</f>
        <v>#N/A</v>
      </c>
      <c r="J5" s="1124" t="e">
        <f>'Conta explotación'!N8</f>
        <v>#N/A</v>
      </c>
      <c r="K5" s="1124" t="e">
        <f>'Conta explotación'!O8</f>
        <v>#N/A</v>
      </c>
      <c r="L5" s="1124" t="e">
        <f>'Conta explotación'!P8</f>
        <v>#N/A</v>
      </c>
      <c r="M5" s="1124" t="e">
        <f>'Conta explotación'!Q8</f>
        <v>#N/A</v>
      </c>
      <c r="N5" s="1124" t="e">
        <f>'Conta explotación'!R8</f>
        <v>#N/A</v>
      </c>
      <c r="O5" s="1124" t="e">
        <f>'Conta explotación'!S8</f>
        <v>#N/A</v>
      </c>
      <c r="P5" s="1124" t="e">
        <f>'Conta explotación'!T8</f>
        <v>#N/A</v>
      </c>
      <c r="Q5" s="1124" t="e">
        <f>'Conta explotación'!U8</f>
        <v>#N/A</v>
      </c>
      <c r="R5" s="1124" t="e">
        <f>'Conta explotación'!V8</f>
        <v>#N/A</v>
      </c>
      <c r="S5" s="1124" t="e">
        <f>'Conta explotación'!W8</f>
        <v>#N/A</v>
      </c>
      <c r="T5" s="1124" t="e">
        <f>'Conta explotación'!X8</f>
        <v>#N/A</v>
      </c>
      <c r="U5" s="1124" t="e">
        <f>'Conta explotación'!Y8</f>
        <v>#N/A</v>
      </c>
      <c r="V5" s="1124" t="e">
        <f>'Conta explotación'!Z8</f>
        <v>#N/A</v>
      </c>
      <c r="W5" s="1124" t="e">
        <f>'Conta explotación'!AA8</f>
        <v>#N/A</v>
      </c>
      <c r="X5" s="1124" t="e">
        <f>'Conta explotación'!AB8</f>
        <v>#N/A</v>
      </c>
      <c r="Y5" s="1124" t="e">
        <f>'Conta explotación'!AC8</f>
        <v>#N/A</v>
      </c>
      <c r="Z5" s="1124" t="e">
        <f>'Conta explotación'!AD8</f>
        <v>#N/A</v>
      </c>
      <c r="AA5" s="1066" t="e">
        <f>SUM(B5:Z5)</f>
        <v>#N/A</v>
      </c>
    </row>
    <row r="6" spans="1:29" x14ac:dyDescent="0.3">
      <c r="A6" s="797" t="s">
        <v>1041</v>
      </c>
      <c r="B6" s="1124">
        <f>'Datos CE e Socios'!$C$14</f>
        <v>0</v>
      </c>
      <c r="C6" s="1124">
        <f>B6*(1+'Hipóteses xerais (2)'!$C$40)</f>
        <v>0</v>
      </c>
      <c r="D6" s="1124">
        <f>C6*(1+'Hipóteses xerais (2)'!$C$40)</f>
        <v>0</v>
      </c>
      <c r="E6" s="1124">
        <f>D6*(1+'Hipóteses xerais (2)'!$C$40)</f>
        <v>0</v>
      </c>
      <c r="F6" s="1124">
        <f>E6*(1+'Hipóteses xerais (2)'!$C$40)</f>
        <v>0</v>
      </c>
      <c r="G6" s="1124">
        <f>F6*(1+'Hipóteses xerais (2)'!$C$40)</f>
        <v>0</v>
      </c>
      <c r="H6" s="1124">
        <f>G6*(1+'Hipóteses xerais (2)'!$C$40)</f>
        <v>0</v>
      </c>
      <c r="I6" s="1124">
        <f>H6*(1+'Hipóteses xerais (2)'!$C$40)</f>
        <v>0</v>
      </c>
      <c r="J6" s="1124">
        <f>I6*(1+'Hipóteses xerais (2)'!$C$40)</f>
        <v>0</v>
      </c>
      <c r="K6" s="1124">
        <f>J6*(1+'Hipóteses xerais (2)'!$C$40)</f>
        <v>0</v>
      </c>
      <c r="L6" s="1124">
        <f>K6*(1+'Hipóteses xerais (2)'!$C$40)</f>
        <v>0</v>
      </c>
      <c r="M6" s="1124">
        <f>L6*(1+'Hipóteses xerais (2)'!$C$40)</f>
        <v>0</v>
      </c>
      <c r="N6" s="1124">
        <f>M6*(1+'Hipóteses xerais (2)'!$C$40)</f>
        <v>0</v>
      </c>
      <c r="O6" s="1124">
        <f>N6*(1+'Hipóteses xerais (2)'!$C$40)</f>
        <v>0</v>
      </c>
      <c r="P6" s="1124">
        <f>O6*(1+'Hipóteses xerais (2)'!$C$40)</f>
        <v>0</v>
      </c>
      <c r="Q6" s="1124">
        <f>P6*(1+'Hipóteses xerais (2)'!$C$40)</f>
        <v>0</v>
      </c>
      <c r="R6" s="1124">
        <f>Q6*(1+'Hipóteses xerais (2)'!$C$40)</f>
        <v>0</v>
      </c>
      <c r="S6" s="1124">
        <f>R6*(1+'Hipóteses xerais (2)'!$C$40)</f>
        <v>0</v>
      </c>
      <c r="T6" s="1124">
        <f>S6*(1+'Hipóteses xerais (2)'!$C$40)</f>
        <v>0</v>
      </c>
      <c r="U6" s="1124">
        <f>T6*(1+'Hipóteses xerais (2)'!$C$40)</f>
        <v>0</v>
      </c>
      <c r="V6" s="1124">
        <f>U6*(1+'Hipóteses xerais (2)'!$C$40)</f>
        <v>0</v>
      </c>
      <c r="W6" s="1124">
        <f>V6*(1+'Hipóteses xerais (2)'!$C$40)</f>
        <v>0</v>
      </c>
      <c r="X6" s="1124">
        <f>W6*(1+'Hipóteses xerais (2)'!$C$40)</f>
        <v>0</v>
      </c>
      <c r="Y6" s="1124">
        <f>X6*(1+'Hipóteses xerais (2)'!$C$40)</f>
        <v>0</v>
      </c>
      <c r="Z6" s="1124">
        <f>Y6*(1+'Hipóteses xerais (2)'!$C$40)</f>
        <v>0</v>
      </c>
      <c r="AA6" s="1066">
        <f>SUM(B6:Z6)</f>
        <v>0</v>
      </c>
    </row>
    <row r="7" spans="1:29" ht="15" thickBot="1" x14ac:dyDescent="0.35">
      <c r="A7" s="937" t="s">
        <v>1040</v>
      </c>
      <c r="B7" s="1063">
        <f>'Datos CE e Socios'!$C$15</f>
        <v>0</v>
      </c>
      <c r="C7" s="1063">
        <f>B7*(1+'Hipóteses xerais (2)'!$C$40)</f>
        <v>0</v>
      </c>
      <c r="D7" s="1063">
        <f>C7*(1+'Hipóteses xerais (2)'!$C$40)</f>
        <v>0</v>
      </c>
      <c r="E7" s="1063">
        <f>D7*(1+'Hipóteses xerais (2)'!$C$40)</f>
        <v>0</v>
      </c>
      <c r="F7" s="1063">
        <f>E7*(1+'Hipóteses xerais (2)'!$C$40)</f>
        <v>0</v>
      </c>
      <c r="G7" s="1063">
        <f>F7*(1+'Hipóteses xerais (2)'!$C$40)</f>
        <v>0</v>
      </c>
      <c r="H7" s="1063">
        <f>G7*(1+'Hipóteses xerais (2)'!$C$40)</f>
        <v>0</v>
      </c>
      <c r="I7" s="1063">
        <f>H7*(1+'Hipóteses xerais (2)'!$C$40)</f>
        <v>0</v>
      </c>
      <c r="J7" s="1063">
        <f>I7*(1+'Hipóteses xerais (2)'!$C$40)</f>
        <v>0</v>
      </c>
      <c r="K7" s="1063">
        <f>J7*(1+'Hipóteses xerais (2)'!$C$40)</f>
        <v>0</v>
      </c>
      <c r="L7" s="1063">
        <f>K7*(1+'Hipóteses xerais (2)'!$C$40)</f>
        <v>0</v>
      </c>
      <c r="M7" s="1063">
        <f>L7*(1+'Hipóteses xerais (2)'!$C$40)</f>
        <v>0</v>
      </c>
      <c r="N7" s="1063">
        <f>M7*(1+'Hipóteses xerais (2)'!$C$40)</f>
        <v>0</v>
      </c>
      <c r="O7" s="1063">
        <f>N7*(1+'Hipóteses xerais (2)'!$C$40)</f>
        <v>0</v>
      </c>
      <c r="P7" s="1063">
        <f>O7*(1+'Hipóteses xerais (2)'!$C$40)</f>
        <v>0</v>
      </c>
      <c r="Q7" s="1063">
        <f>P7*(1+'Hipóteses xerais (2)'!$C$40)</f>
        <v>0</v>
      </c>
      <c r="R7" s="1063">
        <f>Q7*(1+'Hipóteses xerais (2)'!$C$40)</f>
        <v>0</v>
      </c>
      <c r="S7" s="1063">
        <f>R7*(1+'Hipóteses xerais (2)'!$C$40)</f>
        <v>0</v>
      </c>
      <c r="T7" s="1063">
        <f>S7*(1+'Hipóteses xerais (2)'!$C$40)</f>
        <v>0</v>
      </c>
      <c r="U7" s="1063">
        <f>T7*(1+'Hipóteses xerais (2)'!$C$40)</f>
        <v>0</v>
      </c>
      <c r="V7" s="1063">
        <f>U7*(1+'Hipóteses xerais (2)'!$C$40)</f>
        <v>0</v>
      </c>
      <c r="W7" s="1063">
        <f>V7*(1+'Hipóteses xerais (2)'!$C$40)</f>
        <v>0</v>
      </c>
      <c r="X7" s="1063">
        <f>W7*(1+'Hipóteses xerais (2)'!$C$40)</f>
        <v>0</v>
      </c>
      <c r="Y7" s="1063">
        <f>X7*(1+'Hipóteses xerais (2)'!$C$40)</f>
        <v>0</v>
      </c>
      <c r="Z7" s="1063">
        <f>Y7*(1+'Hipóteses xerais (2)'!$C$40)</f>
        <v>0</v>
      </c>
      <c r="AA7" s="1061">
        <f>SUM(B7:Z7)</f>
        <v>0</v>
      </c>
    </row>
    <row r="8" spans="1:29" s="13" customFormat="1" ht="15" thickBot="1" x14ac:dyDescent="0.35">
      <c r="A8" s="624" t="s">
        <v>1068</v>
      </c>
      <c r="B8" s="1107" t="e">
        <f t="shared" ref="B8:AA8" si="0">SUM(B3:B7)</f>
        <v>#N/A</v>
      </c>
      <c r="C8" s="1107" t="e">
        <f t="shared" si="0"/>
        <v>#N/A</v>
      </c>
      <c r="D8" s="1107" t="e">
        <f t="shared" si="0"/>
        <v>#N/A</v>
      </c>
      <c r="E8" s="1107" t="e">
        <f t="shared" si="0"/>
        <v>#N/A</v>
      </c>
      <c r="F8" s="1107" t="e">
        <f t="shared" si="0"/>
        <v>#N/A</v>
      </c>
      <c r="G8" s="1107" t="e">
        <f t="shared" si="0"/>
        <v>#N/A</v>
      </c>
      <c r="H8" s="1107" t="e">
        <f t="shared" si="0"/>
        <v>#N/A</v>
      </c>
      <c r="I8" s="1107" t="e">
        <f t="shared" si="0"/>
        <v>#N/A</v>
      </c>
      <c r="J8" s="1107" t="e">
        <f t="shared" si="0"/>
        <v>#N/A</v>
      </c>
      <c r="K8" s="1107" t="e">
        <f t="shared" si="0"/>
        <v>#N/A</v>
      </c>
      <c r="L8" s="1107" t="e">
        <f t="shared" si="0"/>
        <v>#N/A</v>
      </c>
      <c r="M8" s="1107" t="e">
        <f t="shared" si="0"/>
        <v>#N/A</v>
      </c>
      <c r="N8" s="1107" t="e">
        <f t="shared" si="0"/>
        <v>#N/A</v>
      </c>
      <c r="O8" s="1107" t="e">
        <f t="shared" si="0"/>
        <v>#N/A</v>
      </c>
      <c r="P8" s="1107" t="e">
        <f t="shared" si="0"/>
        <v>#N/A</v>
      </c>
      <c r="Q8" s="1107" t="e">
        <f t="shared" si="0"/>
        <v>#N/A</v>
      </c>
      <c r="R8" s="1107" t="e">
        <f t="shared" si="0"/>
        <v>#N/A</v>
      </c>
      <c r="S8" s="1107" t="e">
        <f t="shared" si="0"/>
        <v>#N/A</v>
      </c>
      <c r="T8" s="1107" t="e">
        <f t="shared" si="0"/>
        <v>#N/A</v>
      </c>
      <c r="U8" s="1107" t="e">
        <f t="shared" si="0"/>
        <v>#N/A</v>
      </c>
      <c r="V8" s="1107" t="e">
        <f t="shared" si="0"/>
        <v>#N/A</v>
      </c>
      <c r="W8" s="1107" t="e">
        <f t="shared" si="0"/>
        <v>#N/A</v>
      </c>
      <c r="X8" s="1107" t="e">
        <f t="shared" si="0"/>
        <v>#N/A</v>
      </c>
      <c r="Y8" s="1107" t="e">
        <f t="shared" si="0"/>
        <v>#N/A</v>
      </c>
      <c r="Z8" s="1107" t="e">
        <f t="shared" si="0"/>
        <v>#N/A</v>
      </c>
      <c r="AA8" s="1123" t="e">
        <f t="shared" si="0"/>
        <v>#N/A</v>
      </c>
      <c r="AB8" s="1114"/>
      <c r="AC8" s="1114"/>
    </row>
    <row r="9" spans="1:29" x14ac:dyDescent="0.3">
      <c r="AA9" s="1032"/>
    </row>
    <row r="10" spans="1:29" ht="15" thickBot="1" x14ac:dyDescent="0.35">
      <c r="AA10" s="1032"/>
    </row>
    <row r="11" spans="1:29" ht="15.6" thickTop="1" thickBot="1" x14ac:dyDescent="0.35">
      <c r="B11" s="1122">
        <v>1</v>
      </c>
      <c r="C11" s="1121">
        <v>2</v>
      </c>
      <c r="D11" s="1121">
        <v>3</v>
      </c>
      <c r="E11" s="1121">
        <v>4</v>
      </c>
      <c r="F11" s="1121">
        <v>5</v>
      </c>
      <c r="G11" s="1121">
        <v>6</v>
      </c>
      <c r="H11" s="1121">
        <v>7</v>
      </c>
      <c r="I11" s="1121">
        <v>8</v>
      </c>
      <c r="J11" s="1121">
        <v>9</v>
      </c>
      <c r="K11" s="1121">
        <v>10</v>
      </c>
      <c r="L11" s="1121">
        <v>11</v>
      </c>
      <c r="M11" s="1121">
        <v>12</v>
      </c>
      <c r="N11" s="1121">
        <v>13</v>
      </c>
      <c r="O11" s="1121">
        <v>14</v>
      </c>
      <c r="P11" s="1121">
        <v>15</v>
      </c>
      <c r="Q11" s="1121">
        <v>16</v>
      </c>
      <c r="R11" s="1121">
        <v>17</v>
      </c>
      <c r="S11" s="1121">
        <v>18</v>
      </c>
      <c r="T11" s="1121">
        <v>19</v>
      </c>
      <c r="U11" s="1121">
        <v>20</v>
      </c>
      <c r="V11" s="1121">
        <v>21</v>
      </c>
      <c r="W11" s="1121">
        <v>22</v>
      </c>
      <c r="X11" s="1121">
        <v>23</v>
      </c>
      <c r="Y11" s="1121">
        <v>24</v>
      </c>
      <c r="Z11" s="1121">
        <v>25</v>
      </c>
      <c r="AA11" s="1120" t="s">
        <v>1067</v>
      </c>
    </row>
    <row r="12" spans="1:29" ht="15" thickBot="1" x14ac:dyDescent="0.35">
      <c r="B12" s="1119">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18" t="s">
        <v>1066</v>
      </c>
    </row>
    <row r="13" spans="1:29" s="13" customFormat="1" x14ac:dyDescent="0.3">
      <c r="A13" s="1117" t="str">
        <f>'Conta explotación'!C10</f>
        <v>Cota Extra Inicial (Só Primeiro Ano)</v>
      </c>
      <c r="B13" s="1116" t="e">
        <f>'Conta explotación'!F10</f>
        <v>#N/A</v>
      </c>
      <c r="C13" s="1116">
        <f>'Conta explotación'!G10</f>
        <v>0</v>
      </c>
      <c r="D13" s="1116">
        <f>'Conta explotación'!H10</f>
        <v>0</v>
      </c>
      <c r="E13" s="1116">
        <f>'Conta explotación'!I10</f>
        <v>0</v>
      </c>
      <c r="F13" s="1116">
        <f>'Conta explotación'!J10</f>
        <v>0</v>
      </c>
      <c r="G13" s="1116">
        <f>'Conta explotación'!K10</f>
        <v>0</v>
      </c>
      <c r="H13" s="1116">
        <f>'Conta explotación'!L10</f>
        <v>0</v>
      </c>
      <c r="I13" s="1116">
        <f>'Conta explotación'!M10</f>
        <v>0</v>
      </c>
      <c r="J13" s="1116">
        <f>'Conta explotación'!N10</f>
        <v>0</v>
      </c>
      <c r="K13" s="1116">
        <f>'Conta explotación'!O10</f>
        <v>0</v>
      </c>
      <c r="L13" s="1116">
        <f>'Conta explotación'!P10</f>
        <v>0</v>
      </c>
      <c r="M13" s="1116">
        <f>'Conta explotación'!Q10</f>
        <v>0</v>
      </c>
      <c r="N13" s="1116">
        <f>'Conta explotación'!R10</f>
        <v>0</v>
      </c>
      <c r="O13" s="1116">
        <f>'Conta explotación'!S10</f>
        <v>0</v>
      </c>
      <c r="P13" s="1116">
        <f>'Conta explotación'!T10</f>
        <v>0</v>
      </c>
      <c r="Q13" s="1116">
        <f>'Conta explotación'!U10</f>
        <v>0</v>
      </c>
      <c r="R13" s="1116">
        <f>'Conta explotación'!V10</f>
        <v>0</v>
      </c>
      <c r="S13" s="1116">
        <f>'Conta explotación'!W10</f>
        <v>0</v>
      </c>
      <c r="T13" s="1116">
        <f>'Conta explotación'!X10</f>
        <v>0</v>
      </c>
      <c r="U13" s="1116">
        <f>'Conta explotación'!Y10</f>
        <v>0</v>
      </c>
      <c r="V13" s="1116">
        <f>'Conta explotación'!Z10</f>
        <v>0</v>
      </c>
      <c r="W13" s="1116">
        <f>'Conta explotación'!AA10</f>
        <v>0</v>
      </c>
      <c r="X13" s="1116">
        <f>'Conta explotación'!AB10</f>
        <v>0</v>
      </c>
      <c r="Y13" s="1116">
        <f>'Conta explotación'!AC10</f>
        <v>0</v>
      </c>
      <c r="Z13" s="1116">
        <f>'Conta explotación'!AD10</f>
        <v>0</v>
      </c>
      <c r="AA13" s="1115" t="e">
        <f>SUM(B13:Z13)</f>
        <v>#N/A</v>
      </c>
      <c r="AB13" s="1114"/>
      <c r="AC13" s="1114"/>
    </row>
    <row r="14" spans="1:29" x14ac:dyDescent="0.3">
      <c r="A14" s="797" t="str">
        <f>'Conta explotación'!C11</f>
        <v>Cotas de Socios</v>
      </c>
      <c r="B14" s="1113" t="e">
        <f>'Conta explotación'!F11</f>
        <v>#N/A</v>
      </c>
      <c r="C14" s="1113" t="e">
        <f>'Conta explotación'!G11</f>
        <v>#N/A</v>
      </c>
      <c r="D14" s="1113" t="e">
        <f>'Conta explotación'!H11</f>
        <v>#N/A</v>
      </c>
      <c r="E14" s="1113" t="e">
        <f>'Conta explotación'!I11</f>
        <v>#N/A</v>
      </c>
      <c r="F14" s="1113" t="e">
        <f>'Conta explotación'!J11</f>
        <v>#N/A</v>
      </c>
      <c r="G14" s="1113" t="e">
        <f>'Conta explotación'!K11</f>
        <v>#N/A</v>
      </c>
      <c r="H14" s="1113" t="e">
        <f>'Conta explotación'!L11</f>
        <v>#N/A</v>
      </c>
      <c r="I14" s="1113" t="e">
        <f>'Conta explotación'!M11</f>
        <v>#N/A</v>
      </c>
      <c r="J14" s="1113" t="e">
        <f>'Conta explotación'!N11</f>
        <v>#N/A</v>
      </c>
      <c r="K14" s="1113" t="e">
        <f>'Conta explotación'!O11</f>
        <v>#N/A</v>
      </c>
      <c r="L14" s="1113" t="e">
        <f>'Conta explotación'!P11</f>
        <v>#N/A</v>
      </c>
      <c r="M14" s="1113" t="e">
        <f>'Conta explotación'!Q11</f>
        <v>#N/A</v>
      </c>
      <c r="N14" s="1113" t="e">
        <f>'Conta explotación'!R11</f>
        <v>#N/A</v>
      </c>
      <c r="O14" s="1113" t="e">
        <f>'Conta explotación'!S11</f>
        <v>#N/A</v>
      </c>
      <c r="P14" s="1113" t="e">
        <f>'Conta explotación'!T11</f>
        <v>#N/A</v>
      </c>
      <c r="Q14" s="1113" t="e">
        <f>'Conta explotación'!U11</f>
        <v>#N/A</v>
      </c>
      <c r="R14" s="1113" t="e">
        <f>'Conta explotación'!V11</f>
        <v>#N/A</v>
      </c>
      <c r="S14" s="1113" t="e">
        <f>'Conta explotación'!W11</f>
        <v>#N/A</v>
      </c>
      <c r="T14" s="1113" t="e">
        <f>'Conta explotación'!X11</f>
        <v>#N/A</v>
      </c>
      <c r="U14" s="1113" t="e">
        <f>'Conta explotación'!Y11</f>
        <v>#N/A</v>
      </c>
      <c r="V14" s="1113" t="e">
        <f>'Conta explotación'!Z11</f>
        <v>#N/A</v>
      </c>
      <c r="W14" s="1113" t="e">
        <f>'Conta explotación'!AA11</f>
        <v>#N/A</v>
      </c>
      <c r="X14" s="1113" t="e">
        <f>'Conta explotación'!AB11</f>
        <v>#N/A</v>
      </c>
      <c r="Y14" s="1113" t="e">
        <f>'Conta explotación'!AC11</f>
        <v>#N/A</v>
      </c>
      <c r="Z14" s="1113" t="e">
        <f>'Conta explotación'!AD11</f>
        <v>#N/A</v>
      </c>
      <c r="AA14" s="1112" t="e">
        <f>SUM(B14:Z14)</f>
        <v>#N/A</v>
      </c>
    </row>
    <row r="15" spans="1:29" ht="15" thickBot="1" x14ac:dyDescent="0.35">
      <c r="A15" s="1111" t="s">
        <v>1065</v>
      </c>
      <c r="B15" s="1110" t="e">
        <f>'Conta explotación'!F12</f>
        <v>#N/A</v>
      </c>
      <c r="C15" s="1110" t="e">
        <f>'Conta explotación'!G12</f>
        <v>#N/A</v>
      </c>
      <c r="D15" s="1110" t="e">
        <f>'Conta explotación'!H12</f>
        <v>#N/A</v>
      </c>
      <c r="E15" s="1110" t="e">
        <f>'Conta explotación'!I12</f>
        <v>#N/A</v>
      </c>
      <c r="F15" s="1110" t="e">
        <f>'Conta explotación'!J12</f>
        <v>#N/A</v>
      </c>
      <c r="G15" s="1110" t="e">
        <f>'Conta explotación'!K12</f>
        <v>#N/A</v>
      </c>
      <c r="H15" s="1110" t="e">
        <f>'Conta explotación'!L12</f>
        <v>#N/A</v>
      </c>
      <c r="I15" s="1110" t="e">
        <f>'Conta explotación'!M12</f>
        <v>#N/A</v>
      </c>
      <c r="J15" s="1110" t="e">
        <f>'Conta explotación'!N12</f>
        <v>#N/A</v>
      </c>
      <c r="K15" s="1110" t="e">
        <f>'Conta explotación'!O12</f>
        <v>#N/A</v>
      </c>
      <c r="L15" s="1110" t="e">
        <f>'Conta explotación'!P12</f>
        <v>#N/A</v>
      </c>
      <c r="M15" s="1110" t="e">
        <f>'Conta explotación'!Q12</f>
        <v>#N/A</v>
      </c>
      <c r="N15" s="1110" t="e">
        <f>'Conta explotación'!R12</f>
        <v>#N/A</v>
      </c>
      <c r="O15" s="1110" t="e">
        <f>'Conta explotación'!S12</f>
        <v>#N/A</v>
      </c>
      <c r="P15" s="1110" t="e">
        <f>'Conta explotación'!T12</f>
        <v>#N/A</v>
      </c>
      <c r="Q15" s="1110" t="e">
        <f>'Conta explotación'!U12</f>
        <v>#N/A</v>
      </c>
      <c r="R15" s="1110" t="e">
        <f>'Conta explotación'!V12</f>
        <v>#N/A</v>
      </c>
      <c r="S15" s="1110" t="e">
        <f>'Conta explotación'!W12</f>
        <v>#N/A</v>
      </c>
      <c r="T15" s="1110" t="e">
        <f>'Conta explotación'!X12</f>
        <v>#N/A</v>
      </c>
      <c r="U15" s="1110" t="e">
        <f>'Conta explotación'!Y12</f>
        <v>#N/A</v>
      </c>
      <c r="V15" s="1110" t="e">
        <f>'Conta explotación'!Z12</f>
        <v>#N/A</v>
      </c>
      <c r="W15" s="1110" t="e">
        <f>'Conta explotación'!AA12</f>
        <v>#N/A</v>
      </c>
      <c r="X15" s="1110" t="e">
        <f>'Conta explotación'!AB12</f>
        <v>#N/A</v>
      </c>
      <c r="Y15" s="1110" t="e">
        <f>'Conta explotación'!AC12</f>
        <v>#N/A</v>
      </c>
      <c r="Z15" s="1110" t="e">
        <f>'Conta explotación'!AD12</f>
        <v>#N/A</v>
      </c>
      <c r="AA15" s="1109" t="e">
        <f>SUM(B15:Z15)</f>
        <v>#N/A</v>
      </c>
    </row>
    <row r="16" spans="1:29" s="13" customFormat="1" ht="15" thickBot="1" x14ac:dyDescent="0.35">
      <c r="A16" s="629" t="s">
        <v>1064</v>
      </c>
      <c r="B16" s="1108" t="e">
        <f t="shared" ref="B16:Z16" si="1">SUM(B13:B15)</f>
        <v>#N/A</v>
      </c>
      <c r="C16" s="1107" t="e">
        <f t="shared" si="1"/>
        <v>#N/A</v>
      </c>
      <c r="D16" s="1107" t="e">
        <f t="shared" si="1"/>
        <v>#N/A</v>
      </c>
      <c r="E16" s="1107" t="e">
        <f t="shared" si="1"/>
        <v>#N/A</v>
      </c>
      <c r="F16" s="1107" t="e">
        <f t="shared" si="1"/>
        <v>#N/A</v>
      </c>
      <c r="G16" s="1107" t="e">
        <f t="shared" si="1"/>
        <v>#N/A</v>
      </c>
      <c r="H16" s="1107" t="e">
        <f t="shared" si="1"/>
        <v>#N/A</v>
      </c>
      <c r="I16" s="1107" t="e">
        <f t="shared" si="1"/>
        <v>#N/A</v>
      </c>
      <c r="J16" s="1107" t="e">
        <f t="shared" si="1"/>
        <v>#N/A</v>
      </c>
      <c r="K16" s="1107" t="e">
        <f t="shared" si="1"/>
        <v>#N/A</v>
      </c>
      <c r="L16" s="1107" t="e">
        <f t="shared" si="1"/>
        <v>#N/A</v>
      </c>
      <c r="M16" s="1107" t="e">
        <f t="shared" si="1"/>
        <v>#N/A</v>
      </c>
      <c r="N16" s="1107" t="e">
        <f t="shared" si="1"/>
        <v>#N/A</v>
      </c>
      <c r="O16" s="1107" t="e">
        <f t="shared" si="1"/>
        <v>#N/A</v>
      </c>
      <c r="P16" s="1107" t="e">
        <f t="shared" si="1"/>
        <v>#N/A</v>
      </c>
      <c r="Q16" s="1107" t="e">
        <f t="shared" si="1"/>
        <v>#N/A</v>
      </c>
      <c r="R16" s="1107" t="e">
        <f t="shared" si="1"/>
        <v>#N/A</v>
      </c>
      <c r="S16" s="1107" t="e">
        <f t="shared" si="1"/>
        <v>#N/A</v>
      </c>
      <c r="T16" s="1107" t="e">
        <f t="shared" si="1"/>
        <v>#N/A</v>
      </c>
      <c r="U16" s="1107" t="e">
        <f t="shared" si="1"/>
        <v>#N/A</v>
      </c>
      <c r="V16" s="1107" t="e">
        <f t="shared" si="1"/>
        <v>#N/A</v>
      </c>
      <c r="W16" s="1107" t="e">
        <f t="shared" si="1"/>
        <v>#N/A</v>
      </c>
      <c r="X16" s="1107" t="e">
        <f t="shared" si="1"/>
        <v>#N/A</v>
      </c>
      <c r="Y16" s="1107" t="e">
        <f t="shared" si="1"/>
        <v>#N/A</v>
      </c>
      <c r="Z16" s="1107" t="e">
        <f t="shared" si="1"/>
        <v>#N/A</v>
      </c>
      <c r="AA16" s="1106" t="e">
        <f>SUM(B16:Z16)</f>
        <v>#N/A</v>
      </c>
    </row>
    <row r="17" spans="1:27" ht="15" thickBot="1" x14ac:dyDescent="0.35">
      <c r="AA17" s="1032"/>
    </row>
    <row r="18" spans="1:27" ht="17.399999999999999" thickTop="1" thickBot="1" x14ac:dyDescent="0.5">
      <c r="A18" s="1105" t="s">
        <v>1063</v>
      </c>
      <c r="B18" s="1104" t="e">
        <f t="shared" ref="B18:Z18" si="2">B8-B16</f>
        <v>#N/A</v>
      </c>
      <c r="C18" s="1103" t="e">
        <f t="shared" si="2"/>
        <v>#N/A</v>
      </c>
      <c r="D18" s="1103" t="e">
        <f t="shared" si="2"/>
        <v>#N/A</v>
      </c>
      <c r="E18" s="1103" t="e">
        <f t="shared" si="2"/>
        <v>#N/A</v>
      </c>
      <c r="F18" s="1103" t="e">
        <f t="shared" si="2"/>
        <v>#N/A</v>
      </c>
      <c r="G18" s="1103" t="e">
        <f t="shared" si="2"/>
        <v>#N/A</v>
      </c>
      <c r="H18" s="1103" t="e">
        <f t="shared" si="2"/>
        <v>#N/A</v>
      </c>
      <c r="I18" s="1103" t="e">
        <f t="shared" si="2"/>
        <v>#N/A</v>
      </c>
      <c r="J18" s="1103" t="e">
        <f t="shared" si="2"/>
        <v>#N/A</v>
      </c>
      <c r="K18" s="1103" t="e">
        <f t="shared" si="2"/>
        <v>#N/A</v>
      </c>
      <c r="L18" s="1103" t="e">
        <f t="shared" si="2"/>
        <v>#N/A</v>
      </c>
      <c r="M18" s="1103" t="e">
        <f t="shared" si="2"/>
        <v>#N/A</v>
      </c>
      <c r="N18" s="1103" t="e">
        <f t="shared" si="2"/>
        <v>#N/A</v>
      </c>
      <c r="O18" s="1103" t="e">
        <f t="shared" si="2"/>
        <v>#N/A</v>
      </c>
      <c r="P18" s="1103" t="e">
        <f t="shared" si="2"/>
        <v>#N/A</v>
      </c>
      <c r="Q18" s="1103" t="e">
        <f t="shared" si="2"/>
        <v>#N/A</v>
      </c>
      <c r="R18" s="1103" t="e">
        <f t="shared" si="2"/>
        <v>#N/A</v>
      </c>
      <c r="S18" s="1103" t="e">
        <f t="shared" si="2"/>
        <v>#N/A</v>
      </c>
      <c r="T18" s="1103" t="e">
        <f t="shared" si="2"/>
        <v>#N/A</v>
      </c>
      <c r="U18" s="1103" t="e">
        <f t="shared" si="2"/>
        <v>#N/A</v>
      </c>
      <c r="V18" s="1103" t="e">
        <f t="shared" si="2"/>
        <v>#N/A</v>
      </c>
      <c r="W18" s="1103" t="e">
        <f t="shared" si="2"/>
        <v>#N/A</v>
      </c>
      <c r="X18" s="1103" t="e">
        <f t="shared" si="2"/>
        <v>#N/A</v>
      </c>
      <c r="Y18" s="1103" t="e">
        <f t="shared" si="2"/>
        <v>#N/A</v>
      </c>
      <c r="Z18" s="1102" t="e">
        <f t="shared" si="2"/>
        <v>#N/A</v>
      </c>
      <c r="AA18" s="1101" t="e">
        <f>SUM(B18:Z18)</f>
        <v>#N/A</v>
      </c>
    </row>
    <row r="19" spans="1:27" ht="15" thickTop="1" x14ac:dyDescent="0.3">
      <c r="A19" t="s">
        <v>1062</v>
      </c>
      <c r="B19" s="145" t="e">
        <f>B18/((1+'Hipóteses xerais (2)'!$C$33)^(B11))</f>
        <v>#N/A</v>
      </c>
      <c r="C19" s="145" t="e">
        <f>C18/((1+'Hipóteses xerais (2)'!$C$33)^(C11))</f>
        <v>#N/A</v>
      </c>
      <c r="D19" s="145" t="e">
        <f>D18/((1+'Hipóteses xerais (2)'!$C$33)^(D11))</f>
        <v>#N/A</v>
      </c>
      <c r="E19" s="145" t="e">
        <f>E18/((1+'Hipóteses xerais (2)'!$C$33)^(E11))</f>
        <v>#N/A</v>
      </c>
      <c r="F19" s="145" t="e">
        <f>F18/((1+'Hipóteses xerais (2)'!$C$33)^(F11))</f>
        <v>#N/A</v>
      </c>
      <c r="G19" s="145" t="e">
        <f>G18/((1+'Hipóteses xerais (2)'!$C$33)^(G11))</f>
        <v>#N/A</v>
      </c>
      <c r="H19" s="145" t="e">
        <f>H18/((1+'Hipóteses xerais (2)'!$C$33)^(H11))</f>
        <v>#N/A</v>
      </c>
      <c r="I19" s="145" t="e">
        <f>I18/((1+'Hipóteses xerais (2)'!$C$33)^(I11))</f>
        <v>#N/A</v>
      </c>
      <c r="J19" s="145" t="e">
        <f>J18/((1+'Hipóteses xerais (2)'!$C$33)^(J11))</f>
        <v>#N/A</v>
      </c>
      <c r="K19" s="145" t="e">
        <f>K18/((1+'Hipóteses xerais (2)'!$C$33)^(K11))</f>
        <v>#N/A</v>
      </c>
      <c r="L19" s="145" t="e">
        <f>L18/((1+'Hipóteses xerais (2)'!$C$33)^(L11))</f>
        <v>#N/A</v>
      </c>
      <c r="M19" s="145" t="e">
        <f>M18/((1+'Hipóteses xerais (2)'!$C$33)^(M11))</f>
        <v>#N/A</v>
      </c>
      <c r="N19" s="145" t="e">
        <f>N18/((1+'Hipóteses xerais (2)'!$C$33)^(N11))</f>
        <v>#N/A</v>
      </c>
      <c r="O19" s="145" t="e">
        <f>O18/((1+'Hipóteses xerais (2)'!$C$33)^(O11))</f>
        <v>#N/A</v>
      </c>
      <c r="P19" s="145" t="e">
        <f>P18/((1+'Hipóteses xerais (2)'!$C$33)^(P11))</f>
        <v>#N/A</v>
      </c>
      <c r="Q19" s="145" t="e">
        <f>Q18/((1+'Hipóteses xerais (2)'!$C$33)^(Q11))</f>
        <v>#N/A</v>
      </c>
      <c r="R19" s="145" t="e">
        <f>R18/((1+'Hipóteses xerais (2)'!$C$33)^(R11))</f>
        <v>#N/A</v>
      </c>
      <c r="S19" s="145" t="e">
        <f>S18/((1+'Hipóteses xerais (2)'!$C$33)^(S11))</f>
        <v>#N/A</v>
      </c>
      <c r="T19" s="145" t="e">
        <f>T18/((1+'Hipóteses xerais (2)'!$C$33)^(T11))</f>
        <v>#N/A</v>
      </c>
      <c r="U19" s="145" t="e">
        <f>U18/((1+'Hipóteses xerais (2)'!$C$33)^(U11))</f>
        <v>#N/A</v>
      </c>
      <c r="V19" s="145" t="e">
        <f>V18/((1+'Hipóteses xerais (2)'!$C$33)^(V11))</f>
        <v>#N/A</v>
      </c>
      <c r="W19" s="145" t="e">
        <f>W18/((1+'Hipóteses xerais (2)'!$C$33)^(W11))</f>
        <v>#N/A</v>
      </c>
      <c r="X19" s="145" t="e">
        <f>X18/((1+'Hipóteses xerais (2)'!$C$33)^(X11))</f>
        <v>#N/A</v>
      </c>
      <c r="Y19" s="145" t="e">
        <f>Y18/((1+'Hipóteses xerais (2)'!$C$33)^(Y11))</f>
        <v>#N/A</v>
      </c>
      <c r="Z19" s="145" t="e">
        <f>Z18/((1+'Hipóteses xerais (2)'!$C$33)^(Z11))</f>
        <v>#N/A</v>
      </c>
      <c r="AA19" s="1100"/>
    </row>
    <row r="20" spans="1:27" x14ac:dyDescent="0.3">
      <c r="W20" s="1098" t="s">
        <v>1061</v>
      </c>
      <c r="X20" s="1098"/>
      <c r="Y20" s="1098"/>
      <c r="Z20" s="1098"/>
      <c r="AA20" s="1099" t="e">
        <f>('Conta Individ. Socio'!$AA$18*'Datos CE e Socios'!$B$2)-'Conta Conxunto de Socios'!$AA$18</f>
        <v>#N/A</v>
      </c>
    </row>
    <row r="21" spans="1:27" x14ac:dyDescent="0.3">
      <c r="W21" s="1098" t="s">
        <v>1060</v>
      </c>
      <c r="X21" s="1098"/>
      <c r="Y21" s="1098"/>
      <c r="Z21" s="1098"/>
      <c r="AA21" s="1097" t="e">
        <f>IF(AA20&lt;0.01, "O.K.", "INCOHERENTE")</f>
        <v>#N/A</v>
      </c>
    </row>
    <row r="22" spans="1:27" x14ac:dyDescent="0.3">
      <c r="A22" s="1084" t="s">
        <v>1053</v>
      </c>
      <c r="B22" s="1083"/>
      <c r="C22" s="1083"/>
      <c r="D22" s="1083"/>
      <c r="E22" s="1083"/>
      <c r="F22" s="1083"/>
      <c r="G22" s="1083"/>
      <c r="H22" s="1082"/>
    </row>
    <row r="23" spans="1:27" x14ac:dyDescent="0.3">
      <c r="A23" s="680" t="s">
        <v>1051</v>
      </c>
      <c r="B23" s="679"/>
      <c r="C23" s="679"/>
      <c r="D23" s="679"/>
      <c r="E23" s="679"/>
      <c r="F23" s="679"/>
      <c r="G23" s="679"/>
      <c r="H23" s="845"/>
    </row>
    <row r="25" spans="1:27" ht="15" thickBot="1" x14ac:dyDescent="0.35"/>
    <row r="26" spans="1:27" ht="15.6" thickTop="1" thickBot="1" x14ac:dyDescent="0.35">
      <c r="A26" s="1096" t="s">
        <v>1059</v>
      </c>
      <c r="B26" s="1095" t="e">
        <f>'Hipóteses xerais (2)'!$F$35</f>
        <v>#N/A</v>
      </c>
    </row>
    <row r="27" spans="1:27" x14ac:dyDescent="0.3">
      <c r="A27" s="1094" t="s">
        <v>1058</v>
      </c>
      <c r="B27" s="1093" t="e">
        <f>NPV('Hipóteses xerais (2)'!$C$33,B18:Z18)</f>
        <v>#N/A</v>
      </c>
    </row>
    <row r="28" spans="1:27" ht="15" thickBot="1" x14ac:dyDescent="0.35">
      <c r="A28" s="1092" t="s">
        <v>1057</v>
      </c>
      <c r="B28" s="1091" t="e">
        <f>NPV('Hipóteses xerais (2)'!$C$33,-B26,B18:Z18)</f>
        <v>#N/A</v>
      </c>
    </row>
    <row r="29" spans="1:27" x14ac:dyDescent="0.3">
      <c r="A29" s="1090" t="s">
        <v>1056</v>
      </c>
      <c r="B29" s="1089" t="e">
        <f>IRR(B32:AA32)</f>
        <v>#VALUE!</v>
      </c>
    </row>
    <row r="30" spans="1:27" ht="15" thickBot="1" x14ac:dyDescent="0.35">
      <c r="A30" s="1088" t="s">
        <v>1055</v>
      </c>
      <c r="B30" s="1087" t="e">
        <f>MIRR(B32:AA32,'Hipóteses xerais (2)'!$C$33,'Hipóteses xerais (2)'!$C$33)</f>
        <v>#N/A</v>
      </c>
    </row>
    <row r="31" spans="1:27" ht="15.6" thickTop="1" thickBot="1" x14ac:dyDescent="0.35"/>
    <row r="32" spans="1:27" ht="15" hidden="1" thickBot="1" x14ac:dyDescent="0.35">
      <c r="B32" s="145" t="e">
        <f>-B26</f>
        <v>#N/A</v>
      </c>
      <c r="C32" s="145" t="e">
        <f t="shared" ref="C32:AA32" si="3">B18</f>
        <v>#N/A</v>
      </c>
      <c r="D32" s="145" t="e">
        <f t="shared" si="3"/>
        <v>#N/A</v>
      </c>
      <c r="E32" s="145" t="e">
        <f t="shared" si="3"/>
        <v>#N/A</v>
      </c>
      <c r="F32" s="145" t="e">
        <f t="shared" si="3"/>
        <v>#N/A</v>
      </c>
      <c r="G32" s="145" t="e">
        <f t="shared" si="3"/>
        <v>#N/A</v>
      </c>
      <c r="H32" s="145" t="e">
        <f t="shared" si="3"/>
        <v>#N/A</v>
      </c>
      <c r="I32" s="145" t="e">
        <f t="shared" si="3"/>
        <v>#N/A</v>
      </c>
      <c r="J32" s="145" t="e">
        <f t="shared" si="3"/>
        <v>#N/A</v>
      </c>
      <c r="K32" s="145" t="e">
        <f t="shared" si="3"/>
        <v>#N/A</v>
      </c>
      <c r="L32" s="145" t="e">
        <f t="shared" si="3"/>
        <v>#N/A</v>
      </c>
      <c r="M32" s="145" t="e">
        <f t="shared" si="3"/>
        <v>#N/A</v>
      </c>
      <c r="N32" s="145" t="e">
        <f t="shared" si="3"/>
        <v>#N/A</v>
      </c>
      <c r="O32" s="145" t="e">
        <f t="shared" si="3"/>
        <v>#N/A</v>
      </c>
      <c r="P32" s="145" t="e">
        <f t="shared" si="3"/>
        <v>#N/A</v>
      </c>
      <c r="Q32" s="145" t="e">
        <f t="shared" si="3"/>
        <v>#N/A</v>
      </c>
      <c r="R32" s="145" t="e">
        <f t="shared" si="3"/>
        <v>#N/A</v>
      </c>
      <c r="S32" s="145" t="e">
        <f t="shared" si="3"/>
        <v>#N/A</v>
      </c>
      <c r="T32" s="145" t="e">
        <f t="shared" si="3"/>
        <v>#N/A</v>
      </c>
      <c r="U32" s="145" t="e">
        <f t="shared" si="3"/>
        <v>#N/A</v>
      </c>
      <c r="V32" s="145" t="e">
        <f t="shared" si="3"/>
        <v>#N/A</v>
      </c>
      <c r="W32" s="145" t="e">
        <f t="shared" si="3"/>
        <v>#N/A</v>
      </c>
      <c r="X32" s="145" t="e">
        <f t="shared" si="3"/>
        <v>#N/A</v>
      </c>
      <c r="Y32" s="145" t="e">
        <f t="shared" si="3"/>
        <v>#N/A</v>
      </c>
      <c r="Z32" s="145" t="e">
        <f t="shared" si="3"/>
        <v>#N/A</v>
      </c>
      <c r="AA32" s="145" t="e">
        <f t="shared" si="3"/>
        <v>#N/A</v>
      </c>
    </row>
    <row r="33" spans="1:2" ht="15.6" thickTop="1" thickBot="1" x14ac:dyDescent="0.35">
      <c r="A33" s="965" t="s">
        <v>1054</v>
      </c>
      <c r="B33" s="1086" t="e">
        <f>B26/AVERAGE(B19:Z19)</f>
        <v>#N/A</v>
      </c>
    </row>
    <row r="34" spans="1:2" ht="15" thickTop="1" x14ac:dyDescent="0.3"/>
  </sheetData>
  <conditionalFormatting sqref="AA20">
    <cfRule type="expression" dxfId="3" priority="1">
      <formula>$AA$20&lt;0.01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722B1-102A-4461-918F-9C1C137A3838}">
  <dimension ref="A1:AC34"/>
  <sheetViews>
    <sheetView zoomScale="98" zoomScaleNormal="98" workbookViewId="0">
      <pane xSplit="4" ySplit="11" topLeftCell="V12" activePane="bottomRight" state="frozen"/>
      <selection activeCell="F72" sqref="F72:AD72"/>
      <selection pane="topRight" activeCell="F72" sqref="F72:AD72"/>
      <selection pane="bottomLeft" activeCell="F72" sqref="F72:AD72"/>
      <selection pane="bottomRight" activeCell="F72" sqref="F72:AD72"/>
    </sheetView>
  </sheetViews>
  <sheetFormatPr baseColWidth="10" defaultColWidth="11.5546875" defaultRowHeight="14.4" x14ac:dyDescent="0.3"/>
  <cols>
    <col min="1" max="1" width="52.5546875" customWidth="1"/>
    <col min="2" max="2" width="12" bestFit="1" customWidth="1"/>
    <col min="17" max="26" width="11.5546875" bestFit="1" customWidth="1"/>
    <col min="27" max="27" width="16.77734375" bestFit="1" customWidth="1"/>
  </cols>
  <sheetData>
    <row r="1" spans="1:29" ht="15.6" thickTop="1" thickBot="1" x14ac:dyDescent="0.35">
      <c r="B1" s="1122">
        <v>1</v>
      </c>
      <c r="C1" s="1121">
        <v>2</v>
      </c>
      <c r="D1" s="1121">
        <v>3</v>
      </c>
      <c r="E1" s="1121">
        <v>4</v>
      </c>
      <c r="F1" s="1121">
        <v>5</v>
      </c>
      <c r="G1" s="1121">
        <v>6</v>
      </c>
      <c r="H1" s="1121">
        <v>7</v>
      </c>
      <c r="I1" s="1121">
        <v>8</v>
      </c>
      <c r="J1" s="1121">
        <v>9</v>
      </c>
      <c r="K1" s="1121">
        <v>10</v>
      </c>
      <c r="L1" s="1121">
        <v>11</v>
      </c>
      <c r="M1" s="1121">
        <v>12</v>
      </c>
      <c r="N1" s="1121">
        <v>13</v>
      </c>
      <c r="O1" s="1121">
        <v>14</v>
      </c>
      <c r="P1" s="1121">
        <v>15</v>
      </c>
      <c r="Q1" s="1121">
        <v>16</v>
      </c>
      <c r="R1" s="1121">
        <v>17</v>
      </c>
      <c r="S1" s="1121">
        <v>18</v>
      </c>
      <c r="T1" s="1121">
        <v>19</v>
      </c>
      <c r="U1" s="1121">
        <v>20</v>
      </c>
      <c r="V1" s="1121">
        <v>21</v>
      </c>
      <c r="W1" s="1121">
        <v>22</v>
      </c>
      <c r="X1" s="1121">
        <v>23</v>
      </c>
      <c r="Y1" s="1121">
        <v>24</v>
      </c>
      <c r="Z1" s="1121">
        <v>25</v>
      </c>
      <c r="AA1" s="1120" t="s">
        <v>1067</v>
      </c>
    </row>
    <row r="2" spans="1:29" ht="15" thickBot="1" x14ac:dyDescent="0.35">
      <c r="B2" s="1119">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18" t="s">
        <v>1066</v>
      </c>
    </row>
    <row r="3" spans="1:29" x14ac:dyDescent="0.3">
      <c r="A3" s="804" t="s">
        <v>1071</v>
      </c>
      <c r="B3" s="1126" t="e">
        <f>'Conta explotación'!F6*'Datos CE e Socios'!$B$5</f>
        <v>#N/A</v>
      </c>
      <c r="C3" s="1126" t="e">
        <f>'Conta explotación'!G6*'Datos CE e Socios'!$B$5</f>
        <v>#N/A</v>
      </c>
      <c r="D3" s="1126" t="e">
        <f>'Conta explotación'!H6*'Datos CE e Socios'!$B$5</f>
        <v>#N/A</v>
      </c>
      <c r="E3" s="1126" t="e">
        <f>'Conta explotación'!I6*'Datos CE e Socios'!$B$5</f>
        <v>#N/A</v>
      </c>
      <c r="F3" s="1126" t="e">
        <f>'Conta explotación'!J6*'Datos CE e Socios'!$B$5</f>
        <v>#N/A</v>
      </c>
      <c r="G3" s="1126" t="e">
        <f>'Conta explotación'!K6*'Datos CE e Socios'!$B$5</f>
        <v>#N/A</v>
      </c>
      <c r="H3" s="1126" t="e">
        <f>'Conta explotación'!L6*'Datos CE e Socios'!$B$5</f>
        <v>#N/A</v>
      </c>
      <c r="I3" s="1126" t="e">
        <f>'Conta explotación'!M6*'Datos CE e Socios'!$B$5</f>
        <v>#N/A</v>
      </c>
      <c r="J3" s="1126" t="e">
        <f>'Conta explotación'!N6*'Datos CE e Socios'!$B$5</f>
        <v>#N/A</v>
      </c>
      <c r="K3" s="1126" t="e">
        <f>'Conta explotación'!O6*'Datos CE e Socios'!$B$5</f>
        <v>#N/A</v>
      </c>
      <c r="L3" s="1126" t="e">
        <f>'Conta explotación'!P6*'Datos CE e Socios'!$B$5</f>
        <v>#N/A</v>
      </c>
      <c r="M3" s="1126" t="e">
        <f>'Conta explotación'!Q6*'Datos CE e Socios'!$B$5</f>
        <v>#N/A</v>
      </c>
      <c r="N3" s="1126" t="e">
        <f>'Conta explotación'!R6*'Datos CE e Socios'!$B$5</f>
        <v>#N/A</v>
      </c>
      <c r="O3" s="1126" t="e">
        <f>'Conta explotación'!S6*'Datos CE e Socios'!$B$5</f>
        <v>#N/A</v>
      </c>
      <c r="P3" s="1126" t="e">
        <f>'Conta explotación'!T6*'Datos CE e Socios'!$B$5</f>
        <v>#N/A</v>
      </c>
      <c r="Q3" s="1126" t="e">
        <f>'Conta explotación'!U6*'Datos CE e Socios'!$B$5</f>
        <v>#N/A</v>
      </c>
      <c r="R3" s="1126" t="e">
        <f>'Conta explotación'!V6*'Datos CE e Socios'!$B$5</f>
        <v>#N/A</v>
      </c>
      <c r="S3" s="1126" t="e">
        <f>'Conta explotación'!W6*'Datos CE e Socios'!$B$5</f>
        <v>#N/A</v>
      </c>
      <c r="T3" s="1126" t="e">
        <f>'Conta explotación'!X6*'Datos CE e Socios'!$B$5</f>
        <v>#N/A</v>
      </c>
      <c r="U3" s="1126" t="e">
        <f>'Conta explotación'!Y6*'Datos CE e Socios'!$B$5</f>
        <v>#N/A</v>
      </c>
      <c r="V3" s="1126" t="e">
        <f>'Conta explotación'!Z6*'Datos CE e Socios'!$B$5</f>
        <v>#N/A</v>
      </c>
      <c r="W3" s="1126" t="e">
        <f>'Conta explotación'!AA6*'Datos CE e Socios'!$B$5</f>
        <v>#N/A</v>
      </c>
      <c r="X3" s="1126" t="e">
        <f>'Conta explotación'!AB6*'Datos CE e Socios'!$B$5</f>
        <v>#N/A</v>
      </c>
      <c r="Y3" s="1126" t="e">
        <f>'Conta explotación'!AC6*'Datos CE e Socios'!$B$5</f>
        <v>#N/A</v>
      </c>
      <c r="Z3" s="1126" t="e">
        <f>'Conta explotación'!AD6*'Datos CE e Socios'!$B$5</f>
        <v>#N/A</v>
      </c>
      <c r="AA3" s="1125" t="e">
        <f>SUM(B3:Z3)</f>
        <v>#N/A</v>
      </c>
    </row>
    <row r="4" spans="1:29" x14ac:dyDescent="0.3">
      <c r="A4" s="797" t="s">
        <v>1070</v>
      </c>
      <c r="B4" s="1124" t="e">
        <f>'Conta explotación'!F7*'Datos CE e Socios'!$B$5</f>
        <v>#N/A</v>
      </c>
      <c r="C4" s="1124" t="e">
        <f>'Conta explotación'!G7*'Datos CE e Socios'!$B$5</f>
        <v>#N/A</v>
      </c>
      <c r="D4" s="1124" t="e">
        <f>'Conta explotación'!H7*'Datos CE e Socios'!$B$5</f>
        <v>#N/A</v>
      </c>
      <c r="E4" s="1124" t="e">
        <f>'Conta explotación'!I7*'Datos CE e Socios'!$B$5</f>
        <v>#N/A</v>
      </c>
      <c r="F4" s="1124" t="e">
        <f>'Conta explotación'!J7*'Datos CE e Socios'!$B$5</f>
        <v>#N/A</v>
      </c>
      <c r="G4" s="1124" t="e">
        <f>'Conta explotación'!K7*'Datos CE e Socios'!$B$5</f>
        <v>#N/A</v>
      </c>
      <c r="H4" s="1124" t="e">
        <f>'Conta explotación'!L7*'Datos CE e Socios'!$B$5</f>
        <v>#N/A</v>
      </c>
      <c r="I4" s="1124" t="e">
        <f>'Conta explotación'!M7*'Datos CE e Socios'!$B$5</f>
        <v>#N/A</v>
      </c>
      <c r="J4" s="1124" t="e">
        <f>'Conta explotación'!N7*'Datos CE e Socios'!$B$5</f>
        <v>#N/A</v>
      </c>
      <c r="K4" s="1124" t="e">
        <f>'Conta explotación'!O7*'Datos CE e Socios'!$B$5</f>
        <v>#N/A</v>
      </c>
      <c r="L4" s="1124" t="e">
        <f>'Conta explotación'!P7*'Datos CE e Socios'!$B$5</f>
        <v>#N/A</v>
      </c>
      <c r="M4" s="1124" t="e">
        <f>'Conta explotación'!Q7*'Datos CE e Socios'!$B$5</f>
        <v>#N/A</v>
      </c>
      <c r="N4" s="1124" t="e">
        <f>'Conta explotación'!R7*'Datos CE e Socios'!$B$5</f>
        <v>#N/A</v>
      </c>
      <c r="O4" s="1124" t="e">
        <f>'Conta explotación'!S7*'Datos CE e Socios'!$B$5</f>
        <v>#N/A</v>
      </c>
      <c r="P4" s="1124" t="e">
        <f>'Conta explotación'!T7*'Datos CE e Socios'!$B$5</f>
        <v>#N/A</v>
      </c>
      <c r="Q4" s="1124" t="e">
        <f>'Conta explotación'!U7*'Datos CE e Socios'!$B$5</f>
        <v>#N/A</v>
      </c>
      <c r="R4" s="1124" t="e">
        <f>'Conta explotación'!V7*'Datos CE e Socios'!$B$5</f>
        <v>#N/A</v>
      </c>
      <c r="S4" s="1124" t="e">
        <f>'Conta explotación'!W7*'Datos CE e Socios'!$B$5</f>
        <v>#N/A</v>
      </c>
      <c r="T4" s="1124" t="e">
        <f>'Conta explotación'!X7*'Datos CE e Socios'!$B$5</f>
        <v>#N/A</v>
      </c>
      <c r="U4" s="1124" t="e">
        <f>'Conta explotación'!Y7*'Datos CE e Socios'!$B$5</f>
        <v>#N/A</v>
      </c>
      <c r="V4" s="1124" t="e">
        <f>'Conta explotación'!Z7*'Datos CE e Socios'!$B$5</f>
        <v>#N/A</v>
      </c>
      <c r="W4" s="1124" t="e">
        <f>'Conta explotación'!AA7*'Datos CE e Socios'!$B$5</f>
        <v>#N/A</v>
      </c>
      <c r="X4" s="1124" t="e">
        <f>'Conta explotación'!AB7*'Datos CE e Socios'!$B$5</f>
        <v>#N/A</v>
      </c>
      <c r="Y4" s="1124" t="e">
        <f>'Conta explotación'!AC7*'Datos CE e Socios'!$B$5</f>
        <v>#N/A</v>
      </c>
      <c r="Z4" s="1124" t="e">
        <f>'Conta explotación'!AD7*'Datos CE e Socios'!$B$5</f>
        <v>#N/A</v>
      </c>
      <c r="AA4" s="1066" t="e">
        <f>SUM(B4:Z4)</f>
        <v>#N/A</v>
      </c>
    </row>
    <row r="5" spans="1:29" x14ac:dyDescent="0.3">
      <c r="A5" s="797" t="s">
        <v>1069</v>
      </c>
      <c r="B5" s="1124" t="e">
        <f>'Conta explotación'!F8*'Datos CE e Socios'!$B$5</f>
        <v>#N/A</v>
      </c>
      <c r="C5" s="1124" t="e">
        <f>'Conta explotación'!G8*'Datos CE e Socios'!$B$5</f>
        <v>#N/A</v>
      </c>
      <c r="D5" s="1124" t="e">
        <f>'Conta explotación'!H8*'Datos CE e Socios'!$B$5</f>
        <v>#N/A</v>
      </c>
      <c r="E5" s="1124" t="e">
        <f>'Conta explotación'!I8*'Datos CE e Socios'!$B$5</f>
        <v>#N/A</v>
      </c>
      <c r="F5" s="1124" t="e">
        <f>'Conta explotación'!J8*'Datos CE e Socios'!$B$5</f>
        <v>#N/A</v>
      </c>
      <c r="G5" s="1124" t="e">
        <f>'Conta explotación'!K8*'Datos CE e Socios'!$B$5</f>
        <v>#N/A</v>
      </c>
      <c r="H5" s="1124" t="e">
        <f>'Conta explotación'!L8*'Datos CE e Socios'!$B$5</f>
        <v>#N/A</v>
      </c>
      <c r="I5" s="1124" t="e">
        <f>'Conta explotación'!M8*'Datos CE e Socios'!$B$5</f>
        <v>#N/A</v>
      </c>
      <c r="J5" s="1124" t="e">
        <f>'Conta explotación'!N8*'Datos CE e Socios'!$B$5</f>
        <v>#N/A</v>
      </c>
      <c r="K5" s="1124" t="e">
        <f>'Conta explotación'!O8*'Datos CE e Socios'!$B$5</f>
        <v>#N/A</v>
      </c>
      <c r="L5" s="1124" t="e">
        <f>'Conta explotación'!P8*'Datos CE e Socios'!$B$5</f>
        <v>#N/A</v>
      </c>
      <c r="M5" s="1124" t="e">
        <f>'Conta explotación'!Q8*'Datos CE e Socios'!$B$5</f>
        <v>#N/A</v>
      </c>
      <c r="N5" s="1124" t="e">
        <f>'Conta explotación'!R8*'Datos CE e Socios'!$B$5</f>
        <v>#N/A</v>
      </c>
      <c r="O5" s="1124" t="e">
        <f>'Conta explotación'!S8*'Datos CE e Socios'!$B$5</f>
        <v>#N/A</v>
      </c>
      <c r="P5" s="1124" t="e">
        <f>'Conta explotación'!T8*'Datos CE e Socios'!$B$5</f>
        <v>#N/A</v>
      </c>
      <c r="Q5" s="1124" t="e">
        <f>'Conta explotación'!U8*'Datos CE e Socios'!$B$5</f>
        <v>#N/A</v>
      </c>
      <c r="R5" s="1124" t="e">
        <f>'Conta explotación'!V8*'Datos CE e Socios'!$B$5</f>
        <v>#N/A</v>
      </c>
      <c r="S5" s="1124" t="e">
        <f>'Conta explotación'!W8*'Datos CE e Socios'!$B$5</f>
        <v>#N/A</v>
      </c>
      <c r="T5" s="1124" t="e">
        <f>'Conta explotación'!X8*'Datos CE e Socios'!$B$5</f>
        <v>#N/A</v>
      </c>
      <c r="U5" s="1124" t="e">
        <f>'Conta explotación'!Y8*'Datos CE e Socios'!$B$5</f>
        <v>#N/A</v>
      </c>
      <c r="V5" s="1124" t="e">
        <f>'Conta explotación'!Z8*'Datos CE e Socios'!$B$5</f>
        <v>#N/A</v>
      </c>
      <c r="W5" s="1124" t="e">
        <f>'Conta explotación'!AA8*'Datos CE e Socios'!$B$5</f>
        <v>#N/A</v>
      </c>
      <c r="X5" s="1124" t="e">
        <f>'Conta explotación'!AB8*'Datos CE e Socios'!$B$5</f>
        <v>#N/A</v>
      </c>
      <c r="Y5" s="1124" t="e">
        <f>'Conta explotación'!AC8*'Datos CE e Socios'!$B$5</f>
        <v>#N/A</v>
      </c>
      <c r="Z5" s="1124" t="e">
        <f>'Conta explotación'!AD8*'Datos CE e Socios'!$B$5</f>
        <v>#N/A</v>
      </c>
      <c r="AA5" s="1066" t="e">
        <f>SUM(B5:Z5)</f>
        <v>#N/A</v>
      </c>
    </row>
    <row r="6" spans="1:29" x14ac:dyDescent="0.3">
      <c r="A6" s="797" t="s">
        <v>1041</v>
      </c>
      <c r="B6" s="1124">
        <f>'Datos CE e Socios'!$C$14*'Datos CE e Socios'!$B$5</f>
        <v>0</v>
      </c>
      <c r="C6" s="1124">
        <f>B6*(1+'Hipóteses xerais (2)'!$C$40)</f>
        <v>0</v>
      </c>
      <c r="D6" s="1124">
        <f>C6*(1+'Hipóteses xerais (2)'!$C$40)</f>
        <v>0</v>
      </c>
      <c r="E6" s="1124">
        <f>D6*(1+'Hipóteses xerais (2)'!$C$40)</f>
        <v>0</v>
      </c>
      <c r="F6" s="1124">
        <f>E6*(1+'Hipóteses xerais (2)'!$C$40)</f>
        <v>0</v>
      </c>
      <c r="G6" s="1124">
        <f>F6*(1+'Hipóteses xerais (2)'!$C$40)</f>
        <v>0</v>
      </c>
      <c r="H6" s="1124">
        <f>G6*(1+'Hipóteses xerais (2)'!$C$40)</f>
        <v>0</v>
      </c>
      <c r="I6" s="1124">
        <f>H6*(1+'Hipóteses xerais (2)'!$C$40)</f>
        <v>0</v>
      </c>
      <c r="J6" s="1124">
        <f>I6*(1+'Hipóteses xerais (2)'!$C$40)</f>
        <v>0</v>
      </c>
      <c r="K6" s="1124">
        <f>J6*(1+'Hipóteses xerais (2)'!$C$40)</f>
        <v>0</v>
      </c>
      <c r="L6" s="1124">
        <f>K6*(1+'Hipóteses xerais (2)'!$C$40)</f>
        <v>0</v>
      </c>
      <c r="M6" s="1124">
        <f>L6*(1+'Hipóteses xerais (2)'!$C$40)</f>
        <v>0</v>
      </c>
      <c r="N6" s="1124">
        <f>M6*(1+'Hipóteses xerais (2)'!$C$40)</f>
        <v>0</v>
      </c>
      <c r="O6" s="1124">
        <f>N6*(1+'Hipóteses xerais (2)'!$C$40)</f>
        <v>0</v>
      </c>
      <c r="P6" s="1124">
        <f>O6*(1+'Hipóteses xerais (2)'!$C$40)</f>
        <v>0</v>
      </c>
      <c r="Q6" s="1124">
        <f>P6*(1+'Hipóteses xerais (2)'!$C$40)</f>
        <v>0</v>
      </c>
      <c r="R6" s="1124">
        <f>Q6*(1+'Hipóteses xerais (2)'!$C$40)</f>
        <v>0</v>
      </c>
      <c r="S6" s="1124">
        <f>R6*(1+'Hipóteses xerais (2)'!$C$40)</f>
        <v>0</v>
      </c>
      <c r="T6" s="1124">
        <f>S6*(1+'Hipóteses xerais (2)'!$C$40)</f>
        <v>0</v>
      </c>
      <c r="U6" s="1124">
        <f>T6*(1+'Hipóteses xerais (2)'!$C$40)</f>
        <v>0</v>
      </c>
      <c r="V6" s="1124">
        <f>U6*(1+'Hipóteses xerais (2)'!$C$40)</f>
        <v>0</v>
      </c>
      <c r="W6" s="1124">
        <f>V6*(1+'Hipóteses xerais (2)'!$C$40)</f>
        <v>0</v>
      </c>
      <c r="X6" s="1124">
        <f>W6*(1+'Hipóteses xerais (2)'!$C$40)</f>
        <v>0</v>
      </c>
      <c r="Y6" s="1124">
        <f>X6*(1+'Hipóteses xerais (2)'!$C$40)</f>
        <v>0</v>
      </c>
      <c r="Z6" s="1124">
        <f>Y6*(1+'Hipóteses xerais (2)'!$C$40)</f>
        <v>0</v>
      </c>
      <c r="AA6" s="1066">
        <f>SUM(B6:Z6)</f>
        <v>0</v>
      </c>
    </row>
    <row r="7" spans="1:29" ht="15" thickBot="1" x14ac:dyDescent="0.35">
      <c r="A7" s="937" t="s">
        <v>1040</v>
      </c>
      <c r="B7" s="1063">
        <f>'Datos CE e Socios'!$C$15*'Datos CE e Socios'!$B$5</f>
        <v>0</v>
      </c>
      <c r="C7" s="1063">
        <f>B7*(1+'Hipóteses xerais (2)'!$C$40)</f>
        <v>0</v>
      </c>
      <c r="D7" s="1063">
        <f>C7*(1+'Hipóteses xerais (2)'!$C$40)</f>
        <v>0</v>
      </c>
      <c r="E7" s="1063">
        <f>D7*(1+'Hipóteses xerais (2)'!$C$40)</f>
        <v>0</v>
      </c>
      <c r="F7" s="1063">
        <f>E7*(1+'Hipóteses xerais (2)'!$C$40)</f>
        <v>0</v>
      </c>
      <c r="G7" s="1063">
        <f>F7*(1+'Hipóteses xerais (2)'!$C$40)</f>
        <v>0</v>
      </c>
      <c r="H7" s="1063">
        <f>G7*(1+'Hipóteses xerais (2)'!$C$40)</f>
        <v>0</v>
      </c>
      <c r="I7" s="1063">
        <f>H7*(1+'Hipóteses xerais (2)'!$C$40)</f>
        <v>0</v>
      </c>
      <c r="J7" s="1063">
        <f>I7*(1+'Hipóteses xerais (2)'!$C$40)</f>
        <v>0</v>
      </c>
      <c r="K7" s="1063">
        <f>J7*(1+'Hipóteses xerais (2)'!$C$40)</f>
        <v>0</v>
      </c>
      <c r="L7" s="1063">
        <f>K7*(1+'Hipóteses xerais (2)'!$C$40)</f>
        <v>0</v>
      </c>
      <c r="M7" s="1063">
        <f>L7*(1+'Hipóteses xerais (2)'!$C$40)</f>
        <v>0</v>
      </c>
      <c r="N7" s="1063">
        <f>M7*(1+'Hipóteses xerais (2)'!$C$40)</f>
        <v>0</v>
      </c>
      <c r="O7" s="1063">
        <f>N7*(1+'Hipóteses xerais (2)'!$C$40)</f>
        <v>0</v>
      </c>
      <c r="P7" s="1063">
        <f>O7*(1+'Hipóteses xerais (2)'!$C$40)</f>
        <v>0</v>
      </c>
      <c r="Q7" s="1063">
        <f>P7*(1+'Hipóteses xerais (2)'!$C$40)</f>
        <v>0</v>
      </c>
      <c r="R7" s="1063">
        <f>Q7*(1+'Hipóteses xerais (2)'!$C$40)</f>
        <v>0</v>
      </c>
      <c r="S7" s="1063">
        <f>R7*(1+'Hipóteses xerais (2)'!$C$40)</f>
        <v>0</v>
      </c>
      <c r="T7" s="1063">
        <f>S7*(1+'Hipóteses xerais (2)'!$C$40)</f>
        <v>0</v>
      </c>
      <c r="U7" s="1063">
        <f>T7*(1+'Hipóteses xerais (2)'!$C$40)</f>
        <v>0</v>
      </c>
      <c r="V7" s="1063">
        <f>U7*(1+'Hipóteses xerais (2)'!$C$40)</f>
        <v>0</v>
      </c>
      <c r="W7" s="1063">
        <f>V7*(1+'Hipóteses xerais (2)'!$C$40)</f>
        <v>0</v>
      </c>
      <c r="X7" s="1063">
        <f>W7*(1+'Hipóteses xerais (2)'!$C$40)</f>
        <v>0</v>
      </c>
      <c r="Y7" s="1063">
        <f>X7*(1+'Hipóteses xerais (2)'!$C$40)</f>
        <v>0</v>
      </c>
      <c r="Z7" s="1063">
        <f>Y7*(1+'Hipóteses xerais (2)'!$C$40)</f>
        <v>0</v>
      </c>
      <c r="AA7" s="1061">
        <f>SUM(B7:Z7)</f>
        <v>0</v>
      </c>
    </row>
    <row r="8" spans="1:29" s="13" customFormat="1" ht="15" thickBot="1" x14ac:dyDescent="0.35">
      <c r="A8" s="624" t="s">
        <v>1068</v>
      </c>
      <c r="B8" s="1107" t="e">
        <f t="shared" ref="B8:AA8" si="0">SUM(B3:B7)</f>
        <v>#N/A</v>
      </c>
      <c r="C8" s="1107" t="e">
        <f t="shared" si="0"/>
        <v>#N/A</v>
      </c>
      <c r="D8" s="1107" t="e">
        <f t="shared" si="0"/>
        <v>#N/A</v>
      </c>
      <c r="E8" s="1107" t="e">
        <f t="shared" si="0"/>
        <v>#N/A</v>
      </c>
      <c r="F8" s="1107" t="e">
        <f t="shared" si="0"/>
        <v>#N/A</v>
      </c>
      <c r="G8" s="1107" t="e">
        <f t="shared" si="0"/>
        <v>#N/A</v>
      </c>
      <c r="H8" s="1107" t="e">
        <f t="shared" si="0"/>
        <v>#N/A</v>
      </c>
      <c r="I8" s="1107" t="e">
        <f t="shared" si="0"/>
        <v>#N/A</v>
      </c>
      <c r="J8" s="1107" t="e">
        <f t="shared" si="0"/>
        <v>#N/A</v>
      </c>
      <c r="K8" s="1107" t="e">
        <f t="shared" si="0"/>
        <v>#N/A</v>
      </c>
      <c r="L8" s="1107" t="e">
        <f t="shared" si="0"/>
        <v>#N/A</v>
      </c>
      <c r="M8" s="1107" t="e">
        <f t="shared" si="0"/>
        <v>#N/A</v>
      </c>
      <c r="N8" s="1107" t="e">
        <f t="shared" si="0"/>
        <v>#N/A</v>
      </c>
      <c r="O8" s="1107" t="e">
        <f t="shared" si="0"/>
        <v>#N/A</v>
      </c>
      <c r="P8" s="1107" t="e">
        <f t="shared" si="0"/>
        <v>#N/A</v>
      </c>
      <c r="Q8" s="1107" t="e">
        <f t="shared" si="0"/>
        <v>#N/A</v>
      </c>
      <c r="R8" s="1107" t="e">
        <f t="shared" si="0"/>
        <v>#N/A</v>
      </c>
      <c r="S8" s="1107" t="e">
        <f t="shared" si="0"/>
        <v>#N/A</v>
      </c>
      <c r="T8" s="1107" t="e">
        <f t="shared" si="0"/>
        <v>#N/A</v>
      </c>
      <c r="U8" s="1107" t="e">
        <f t="shared" si="0"/>
        <v>#N/A</v>
      </c>
      <c r="V8" s="1107" t="e">
        <f t="shared" si="0"/>
        <v>#N/A</v>
      </c>
      <c r="W8" s="1107" t="e">
        <f t="shared" si="0"/>
        <v>#N/A</v>
      </c>
      <c r="X8" s="1107" t="e">
        <f t="shared" si="0"/>
        <v>#N/A</v>
      </c>
      <c r="Y8" s="1107" t="e">
        <f t="shared" si="0"/>
        <v>#N/A</v>
      </c>
      <c r="Z8" s="1107" t="e">
        <f t="shared" si="0"/>
        <v>#N/A</v>
      </c>
      <c r="AA8" s="1123" t="e">
        <f t="shared" si="0"/>
        <v>#N/A</v>
      </c>
      <c r="AB8" s="1114"/>
      <c r="AC8" s="1114"/>
    </row>
    <row r="9" spans="1:29" x14ac:dyDescent="0.3">
      <c r="AA9" s="1032"/>
    </row>
    <row r="10" spans="1:29" ht="15" thickBot="1" x14ac:dyDescent="0.35">
      <c r="AA10" s="1032"/>
    </row>
    <row r="11" spans="1:29" ht="15.6" thickTop="1" thickBot="1" x14ac:dyDescent="0.35">
      <c r="B11" s="1122">
        <v>1</v>
      </c>
      <c r="C11" s="1121">
        <v>2</v>
      </c>
      <c r="D11" s="1121">
        <v>3</v>
      </c>
      <c r="E11" s="1121">
        <v>4</v>
      </c>
      <c r="F11" s="1121">
        <v>5</v>
      </c>
      <c r="G11" s="1121">
        <v>6</v>
      </c>
      <c r="H11" s="1121">
        <v>7</v>
      </c>
      <c r="I11" s="1121">
        <v>8</v>
      </c>
      <c r="J11" s="1121">
        <v>9</v>
      </c>
      <c r="K11" s="1121">
        <v>10</v>
      </c>
      <c r="L11" s="1121">
        <v>11</v>
      </c>
      <c r="M11" s="1121">
        <v>12</v>
      </c>
      <c r="N11" s="1121">
        <v>13</v>
      </c>
      <c r="O11" s="1121">
        <v>14</v>
      </c>
      <c r="P11" s="1121">
        <v>15</v>
      </c>
      <c r="Q11" s="1121">
        <v>16</v>
      </c>
      <c r="R11" s="1121">
        <v>17</v>
      </c>
      <c r="S11" s="1121">
        <v>18</v>
      </c>
      <c r="T11" s="1121">
        <v>19</v>
      </c>
      <c r="U11" s="1121">
        <v>20</v>
      </c>
      <c r="V11" s="1121">
        <v>21</v>
      </c>
      <c r="W11" s="1121">
        <v>22</v>
      </c>
      <c r="X11" s="1121">
        <v>23</v>
      </c>
      <c r="Y11" s="1121">
        <v>24</v>
      </c>
      <c r="Z11" s="1121">
        <v>25</v>
      </c>
      <c r="AA11" s="1120" t="s">
        <v>1067</v>
      </c>
    </row>
    <row r="12" spans="1:29" ht="15" thickBot="1" x14ac:dyDescent="0.35">
      <c r="B12" s="1119">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18" t="s">
        <v>1066</v>
      </c>
    </row>
    <row r="13" spans="1:29" s="13" customFormat="1" x14ac:dyDescent="0.3">
      <c r="A13" s="1130" t="str">
        <f>'Conta explotación'!C10</f>
        <v>Cota Extra Inicial (Só Primeiro Ano)</v>
      </c>
      <c r="B13" s="1116" t="e">
        <f>'Conta explotación'!F10*'Datos CE e Socios'!$B$5</f>
        <v>#N/A</v>
      </c>
      <c r="C13" s="1116">
        <f>'Conta explotación'!G10*'Datos CE e Socios'!$B$5</f>
        <v>0</v>
      </c>
      <c r="D13" s="1116">
        <f>'Conta explotación'!H10*'Datos CE e Socios'!$B$5</f>
        <v>0</v>
      </c>
      <c r="E13" s="1116">
        <f>'Conta explotación'!I10*'Datos CE e Socios'!$B$5</f>
        <v>0</v>
      </c>
      <c r="F13" s="1116">
        <f>'Conta explotación'!J10*'Datos CE e Socios'!$B$5</f>
        <v>0</v>
      </c>
      <c r="G13" s="1116">
        <f>'Conta explotación'!K10*'Datos CE e Socios'!$B$5</f>
        <v>0</v>
      </c>
      <c r="H13" s="1116">
        <f>'Conta explotación'!L10*'Datos CE e Socios'!$B$5</f>
        <v>0</v>
      </c>
      <c r="I13" s="1116">
        <f>'Conta explotación'!M10*'Datos CE e Socios'!$B$5</f>
        <v>0</v>
      </c>
      <c r="J13" s="1116">
        <f>'Conta explotación'!N10*'Datos CE e Socios'!$B$5</f>
        <v>0</v>
      </c>
      <c r="K13" s="1116">
        <f>'Conta explotación'!O10*'Datos CE e Socios'!$B$5</f>
        <v>0</v>
      </c>
      <c r="L13" s="1116">
        <f>'Conta explotación'!P10*'Datos CE e Socios'!$B$5</f>
        <v>0</v>
      </c>
      <c r="M13" s="1116">
        <f>'Conta explotación'!Q10*'Datos CE e Socios'!$B$5</f>
        <v>0</v>
      </c>
      <c r="N13" s="1116">
        <f>'Conta explotación'!R10*'Datos CE e Socios'!$B$5</f>
        <v>0</v>
      </c>
      <c r="O13" s="1116">
        <f>'Conta explotación'!S10*'Datos CE e Socios'!$B$5</f>
        <v>0</v>
      </c>
      <c r="P13" s="1116">
        <f>'Conta explotación'!T10*'Datos CE e Socios'!$B$5</f>
        <v>0</v>
      </c>
      <c r="Q13" s="1116">
        <f>'Conta explotación'!U10*'Datos CE e Socios'!$B$5</f>
        <v>0</v>
      </c>
      <c r="R13" s="1116">
        <f>'Conta explotación'!V10*'Datos CE e Socios'!$B$5</f>
        <v>0</v>
      </c>
      <c r="S13" s="1116">
        <f>'Conta explotación'!W10*'Datos CE e Socios'!$B$5</f>
        <v>0</v>
      </c>
      <c r="T13" s="1116">
        <f>'Conta explotación'!X10*'Datos CE e Socios'!$B$5</f>
        <v>0</v>
      </c>
      <c r="U13" s="1116">
        <f>'Conta explotación'!Y10*'Datos CE e Socios'!$B$5</f>
        <v>0</v>
      </c>
      <c r="V13" s="1116">
        <f>'Conta explotación'!Z10*'Datos CE e Socios'!$B$5</f>
        <v>0</v>
      </c>
      <c r="W13" s="1116">
        <f>'Conta explotación'!AA10*'Datos CE e Socios'!$B$5</f>
        <v>0</v>
      </c>
      <c r="X13" s="1116">
        <f>'Conta explotación'!AB10*'Datos CE e Socios'!$B$5</f>
        <v>0</v>
      </c>
      <c r="Y13" s="1116">
        <f>'Conta explotación'!AC10*'Datos CE e Socios'!$B$5</f>
        <v>0</v>
      </c>
      <c r="Z13" s="1116">
        <f>'Conta explotación'!AD10*'Datos CE e Socios'!$B$5</f>
        <v>0</v>
      </c>
      <c r="AA13" s="1115" t="e">
        <f>SUM(B13:Z13)</f>
        <v>#N/A</v>
      </c>
      <c r="AB13" s="1114"/>
      <c r="AC13" s="1114"/>
    </row>
    <row r="14" spans="1:29" x14ac:dyDescent="0.3">
      <c r="A14" s="1071" t="str">
        <f>'Conta explotación'!C11</f>
        <v>Cotas de Socios</v>
      </c>
      <c r="B14" s="1113" t="e">
        <f>'Conta explotación'!F$11/'Hipóteses xerais (2)'!$F$39</f>
        <v>#N/A</v>
      </c>
      <c r="C14" s="1113" t="e">
        <f>'Conta explotación'!G$11/'Hipóteses xerais (2)'!$F$39</f>
        <v>#N/A</v>
      </c>
      <c r="D14" s="1113" t="e">
        <f>'Conta explotación'!H$11/'Hipóteses xerais (2)'!$F$39</f>
        <v>#N/A</v>
      </c>
      <c r="E14" s="1113" t="e">
        <f>'Conta explotación'!I$11/'Hipóteses xerais (2)'!$F$39</f>
        <v>#N/A</v>
      </c>
      <c r="F14" s="1113" t="e">
        <f>'Conta explotación'!J$11/'Hipóteses xerais (2)'!$F$39</f>
        <v>#N/A</v>
      </c>
      <c r="G14" s="1113" t="e">
        <f>'Conta explotación'!K$11/'Hipóteses xerais (2)'!$F$39</f>
        <v>#N/A</v>
      </c>
      <c r="H14" s="1113" t="e">
        <f>'Conta explotación'!L$11/'Hipóteses xerais (2)'!$F$39</f>
        <v>#N/A</v>
      </c>
      <c r="I14" s="1113" t="e">
        <f>'Conta explotación'!M$11/'Hipóteses xerais (2)'!$F$39</f>
        <v>#N/A</v>
      </c>
      <c r="J14" s="1113" t="e">
        <f>'Conta explotación'!N$11/'Hipóteses xerais (2)'!$F$39</f>
        <v>#N/A</v>
      </c>
      <c r="K14" s="1113" t="e">
        <f>'Conta explotación'!O$11/'Hipóteses xerais (2)'!$F$39</f>
        <v>#N/A</v>
      </c>
      <c r="L14" s="1113" t="e">
        <f>'Conta explotación'!P$11/'Hipóteses xerais (2)'!$F$39</f>
        <v>#N/A</v>
      </c>
      <c r="M14" s="1113" t="e">
        <f>'Conta explotación'!Q$11/'Hipóteses xerais (2)'!$F$39</f>
        <v>#N/A</v>
      </c>
      <c r="N14" s="1113" t="e">
        <f>'Conta explotación'!R$11/'Hipóteses xerais (2)'!$F$39</f>
        <v>#N/A</v>
      </c>
      <c r="O14" s="1113" t="e">
        <f>'Conta explotación'!S$11/'Hipóteses xerais (2)'!$F$39</f>
        <v>#N/A</v>
      </c>
      <c r="P14" s="1113" t="e">
        <f>'Conta explotación'!T$11/'Hipóteses xerais (2)'!$F$39</f>
        <v>#N/A</v>
      </c>
      <c r="Q14" s="1113" t="e">
        <f>'Conta explotación'!U$11/'Hipóteses xerais (2)'!$F$39</f>
        <v>#N/A</v>
      </c>
      <c r="R14" s="1113" t="e">
        <f>'Conta explotación'!V$11/'Hipóteses xerais (2)'!$F$39</f>
        <v>#N/A</v>
      </c>
      <c r="S14" s="1113" t="e">
        <f>'Conta explotación'!W$11/'Hipóteses xerais (2)'!$F$39</f>
        <v>#N/A</v>
      </c>
      <c r="T14" s="1113" t="e">
        <f>'Conta explotación'!X$11/'Hipóteses xerais (2)'!$F$39</f>
        <v>#N/A</v>
      </c>
      <c r="U14" s="1113" t="e">
        <f>'Conta explotación'!Y$11/'Hipóteses xerais (2)'!$F$39</f>
        <v>#N/A</v>
      </c>
      <c r="V14" s="1113" t="e">
        <f>'Conta explotación'!Z$11/'Hipóteses xerais (2)'!$F$39</f>
        <v>#N/A</v>
      </c>
      <c r="W14" s="1113" t="e">
        <f>'Conta explotación'!AA$11/'Hipóteses xerais (2)'!$F$39</f>
        <v>#N/A</v>
      </c>
      <c r="X14" s="1113" t="e">
        <f>'Conta explotación'!AB$11/'Hipóteses xerais (2)'!$F$39</f>
        <v>#N/A</v>
      </c>
      <c r="Y14" s="1113" t="e">
        <f>'Conta explotación'!AC$11/'Hipóteses xerais (2)'!$F$39</f>
        <v>#N/A</v>
      </c>
      <c r="Z14" s="1113" t="e">
        <f>'Conta explotación'!AD$11/'Hipóteses xerais (2)'!$F$39</f>
        <v>#N/A</v>
      </c>
      <c r="AA14" s="1112" t="e">
        <f>SUM(B14:Z14)</f>
        <v>#N/A</v>
      </c>
    </row>
    <row r="15" spans="1:29" ht="15" thickBot="1" x14ac:dyDescent="0.35">
      <c r="A15" s="1111" t="s">
        <v>1065</v>
      </c>
      <c r="B15" s="1110" t="e">
        <f>'Conta explotación'!F12*'Datos CE e Socios'!$B$5</f>
        <v>#N/A</v>
      </c>
      <c r="C15" s="1110" t="e">
        <f>'Conta explotación'!G12*'Datos CE e Socios'!$B$5</f>
        <v>#N/A</v>
      </c>
      <c r="D15" s="1110" t="e">
        <f>'Conta explotación'!H12*'Datos CE e Socios'!$B$5</f>
        <v>#N/A</v>
      </c>
      <c r="E15" s="1110" t="e">
        <f>'Conta explotación'!I12*'Datos CE e Socios'!$B$5</f>
        <v>#N/A</v>
      </c>
      <c r="F15" s="1110" t="e">
        <f>'Conta explotación'!J12*'Datos CE e Socios'!$B$5</f>
        <v>#N/A</v>
      </c>
      <c r="G15" s="1110" t="e">
        <f>'Conta explotación'!K12*'Datos CE e Socios'!$B$5</f>
        <v>#N/A</v>
      </c>
      <c r="H15" s="1110" t="e">
        <f>'Conta explotación'!L12*'Datos CE e Socios'!$B$5</f>
        <v>#N/A</v>
      </c>
      <c r="I15" s="1110" t="e">
        <f>'Conta explotación'!M12*'Datos CE e Socios'!$B$5</f>
        <v>#N/A</v>
      </c>
      <c r="J15" s="1110" t="e">
        <f>'Conta explotación'!N12*'Datos CE e Socios'!$B$5</f>
        <v>#N/A</v>
      </c>
      <c r="K15" s="1110" t="e">
        <f>'Conta explotación'!O12*'Datos CE e Socios'!$B$5</f>
        <v>#N/A</v>
      </c>
      <c r="L15" s="1110" t="e">
        <f>'Conta explotación'!P12*'Datos CE e Socios'!$B$5</f>
        <v>#N/A</v>
      </c>
      <c r="M15" s="1110" t="e">
        <f>'Conta explotación'!Q12*'Datos CE e Socios'!$B$5</f>
        <v>#N/A</v>
      </c>
      <c r="N15" s="1110" t="e">
        <f>'Conta explotación'!R12*'Datos CE e Socios'!$B$5</f>
        <v>#N/A</v>
      </c>
      <c r="O15" s="1110" t="e">
        <f>'Conta explotación'!S12*'Datos CE e Socios'!$B$5</f>
        <v>#N/A</v>
      </c>
      <c r="P15" s="1110" t="e">
        <f>'Conta explotación'!T12*'Datos CE e Socios'!$B$5</f>
        <v>#N/A</v>
      </c>
      <c r="Q15" s="1110" t="e">
        <f>'Conta explotación'!U12*'Datos CE e Socios'!$B$5</f>
        <v>#N/A</v>
      </c>
      <c r="R15" s="1110" t="e">
        <f>'Conta explotación'!V12*'Datos CE e Socios'!$B$5</f>
        <v>#N/A</v>
      </c>
      <c r="S15" s="1110" t="e">
        <f>'Conta explotación'!W12*'Datos CE e Socios'!$B$5</f>
        <v>#N/A</v>
      </c>
      <c r="T15" s="1110" t="e">
        <f>'Conta explotación'!X12*'Datos CE e Socios'!$B$5</f>
        <v>#N/A</v>
      </c>
      <c r="U15" s="1110" t="e">
        <f>'Conta explotación'!Y12*'Datos CE e Socios'!$B$5</f>
        <v>#N/A</v>
      </c>
      <c r="V15" s="1110" t="e">
        <f>'Conta explotación'!Z12*'Datos CE e Socios'!$B$5</f>
        <v>#N/A</v>
      </c>
      <c r="W15" s="1110" t="e">
        <f>'Conta explotación'!AA12*'Datos CE e Socios'!$B$5</f>
        <v>#N/A</v>
      </c>
      <c r="X15" s="1110" t="e">
        <f>'Conta explotación'!AB12*'Datos CE e Socios'!$B$5</f>
        <v>#N/A</v>
      </c>
      <c r="Y15" s="1110" t="e">
        <f>'Conta explotación'!AC12*'Datos CE e Socios'!$B$5</f>
        <v>#N/A</v>
      </c>
      <c r="Z15" s="1110" t="e">
        <f>'Conta explotación'!AD12*'Datos CE e Socios'!$B$5</f>
        <v>#N/A</v>
      </c>
      <c r="AA15" s="1109" t="e">
        <f>SUM(B15:Z15)</f>
        <v>#N/A</v>
      </c>
    </row>
    <row r="16" spans="1:29" s="13" customFormat="1" ht="15" thickBot="1" x14ac:dyDescent="0.35">
      <c r="A16" s="629" t="s">
        <v>1064</v>
      </c>
      <c r="B16" s="1108" t="e">
        <f t="shared" ref="B16:Z16" si="1">SUM(B13:B15)</f>
        <v>#N/A</v>
      </c>
      <c r="C16" s="1107" t="e">
        <f t="shared" si="1"/>
        <v>#N/A</v>
      </c>
      <c r="D16" s="1107" t="e">
        <f t="shared" si="1"/>
        <v>#N/A</v>
      </c>
      <c r="E16" s="1107" t="e">
        <f t="shared" si="1"/>
        <v>#N/A</v>
      </c>
      <c r="F16" s="1107" t="e">
        <f t="shared" si="1"/>
        <v>#N/A</v>
      </c>
      <c r="G16" s="1107" t="e">
        <f t="shared" si="1"/>
        <v>#N/A</v>
      </c>
      <c r="H16" s="1107" t="e">
        <f t="shared" si="1"/>
        <v>#N/A</v>
      </c>
      <c r="I16" s="1107" t="e">
        <f t="shared" si="1"/>
        <v>#N/A</v>
      </c>
      <c r="J16" s="1107" t="e">
        <f t="shared" si="1"/>
        <v>#N/A</v>
      </c>
      <c r="K16" s="1107" t="e">
        <f t="shared" si="1"/>
        <v>#N/A</v>
      </c>
      <c r="L16" s="1107" t="e">
        <f t="shared" si="1"/>
        <v>#N/A</v>
      </c>
      <c r="M16" s="1107" t="e">
        <f t="shared" si="1"/>
        <v>#N/A</v>
      </c>
      <c r="N16" s="1107" t="e">
        <f t="shared" si="1"/>
        <v>#N/A</v>
      </c>
      <c r="O16" s="1107" t="e">
        <f t="shared" si="1"/>
        <v>#N/A</v>
      </c>
      <c r="P16" s="1107" t="e">
        <f t="shared" si="1"/>
        <v>#N/A</v>
      </c>
      <c r="Q16" s="1107" t="e">
        <f t="shared" si="1"/>
        <v>#N/A</v>
      </c>
      <c r="R16" s="1107" t="e">
        <f t="shared" si="1"/>
        <v>#N/A</v>
      </c>
      <c r="S16" s="1107" t="e">
        <f t="shared" si="1"/>
        <v>#N/A</v>
      </c>
      <c r="T16" s="1107" t="e">
        <f t="shared" si="1"/>
        <v>#N/A</v>
      </c>
      <c r="U16" s="1107" t="e">
        <f t="shared" si="1"/>
        <v>#N/A</v>
      </c>
      <c r="V16" s="1107" t="e">
        <f t="shared" si="1"/>
        <v>#N/A</v>
      </c>
      <c r="W16" s="1107" t="e">
        <f t="shared" si="1"/>
        <v>#N/A</v>
      </c>
      <c r="X16" s="1107" t="e">
        <f t="shared" si="1"/>
        <v>#N/A</v>
      </c>
      <c r="Y16" s="1107" t="e">
        <f t="shared" si="1"/>
        <v>#N/A</v>
      </c>
      <c r="Z16" s="1107" t="e">
        <f t="shared" si="1"/>
        <v>#N/A</v>
      </c>
      <c r="AA16" s="1106" t="e">
        <f>SUM(B16:Z16)</f>
        <v>#N/A</v>
      </c>
    </row>
    <row r="17" spans="1:27" ht="15" thickBot="1" x14ac:dyDescent="0.35">
      <c r="AA17" s="1032"/>
    </row>
    <row r="18" spans="1:27" ht="17.399999999999999" thickTop="1" thickBot="1" x14ac:dyDescent="0.5">
      <c r="A18" s="1105" t="s">
        <v>1075</v>
      </c>
      <c r="B18" s="1104" t="e">
        <f t="shared" ref="B18:Z18" si="2">B8-B16</f>
        <v>#N/A</v>
      </c>
      <c r="C18" s="1103" t="e">
        <f t="shared" si="2"/>
        <v>#N/A</v>
      </c>
      <c r="D18" s="1103" t="e">
        <f t="shared" si="2"/>
        <v>#N/A</v>
      </c>
      <c r="E18" s="1103" t="e">
        <f t="shared" si="2"/>
        <v>#N/A</v>
      </c>
      <c r="F18" s="1103" t="e">
        <f t="shared" si="2"/>
        <v>#N/A</v>
      </c>
      <c r="G18" s="1103" t="e">
        <f t="shared" si="2"/>
        <v>#N/A</v>
      </c>
      <c r="H18" s="1103" t="e">
        <f t="shared" si="2"/>
        <v>#N/A</v>
      </c>
      <c r="I18" s="1103" t="e">
        <f t="shared" si="2"/>
        <v>#N/A</v>
      </c>
      <c r="J18" s="1103" t="e">
        <f t="shared" si="2"/>
        <v>#N/A</v>
      </c>
      <c r="K18" s="1103" t="e">
        <f t="shared" si="2"/>
        <v>#N/A</v>
      </c>
      <c r="L18" s="1103" t="e">
        <f t="shared" si="2"/>
        <v>#N/A</v>
      </c>
      <c r="M18" s="1103" t="e">
        <f t="shared" si="2"/>
        <v>#N/A</v>
      </c>
      <c r="N18" s="1103" t="e">
        <f t="shared" si="2"/>
        <v>#N/A</v>
      </c>
      <c r="O18" s="1103" t="e">
        <f t="shared" si="2"/>
        <v>#N/A</v>
      </c>
      <c r="P18" s="1103" t="e">
        <f t="shared" si="2"/>
        <v>#N/A</v>
      </c>
      <c r="Q18" s="1103" t="e">
        <f t="shared" si="2"/>
        <v>#N/A</v>
      </c>
      <c r="R18" s="1103" t="e">
        <f t="shared" si="2"/>
        <v>#N/A</v>
      </c>
      <c r="S18" s="1103" t="e">
        <f t="shared" si="2"/>
        <v>#N/A</v>
      </c>
      <c r="T18" s="1103" t="e">
        <f t="shared" si="2"/>
        <v>#N/A</v>
      </c>
      <c r="U18" s="1103" t="e">
        <f t="shared" si="2"/>
        <v>#N/A</v>
      </c>
      <c r="V18" s="1103" t="e">
        <f t="shared" si="2"/>
        <v>#N/A</v>
      </c>
      <c r="W18" s="1103" t="e">
        <f t="shared" si="2"/>
        <v>#N/A</v>
      </c>
      <c r="X18" s="1103" t="e">
        <f t="shared" si="2"/>
        <v>#N/A</v>
      </c>
      <c r="Y18" s="1103" t="e">
        <f t="shared" si="2"/>
        <v>#N/A</v>
      </c>
      <c r="Z18" s="1102" t="e">
        <f t="shared" si="2"/>
        <v>#N/A</v>
      </c>
      <c r="AA18" s="1129" t="e">
        <f>SUM(B18:Z18)</f>
        <v>#N/A</v>
      </c>
    </row>
    <row r="19" spans="1:27" ht="15" thickTop="1" x14ac:dyDescent="0.3">
      <c r="A19" t="s">
        <v>1062</v>
      </c>
      <c r="B19" s="145" t="e">
        <f>B18/((1+'Hipóteses xerais (2)'!$C$33)^(B11))</f>
        <v>#N/A</v>
      </c>
      <c r="C19" s="145" t="e">
        <f>C18/((1+'Hipóteses xerais (2)'!$C$33)^(C11))</f>
        <v>#N/A</v>
      </c>
      <c r="D19" s="145" t="e">
        <f>D18/((1+'Hipóteses xerais (2)'!$C$33)^(D11))</f>
        <v>#N/A</v>
      </c>
      <c r="E19" s="145" t="e">
        <f>E18/((1+'Hipóteses xerais (2)'!$C$33)^(E11))</f>
        <v>#N/A</v>
      </c>
      <c r="F19" s="145" t="e">
        <f>F18/((1+'Hipóteses xerais (2)'!$C$33)^(F11))</f>
        <v>#N/A</v>
      </c>
      <c r="G19" s="145" t="e">
        <f>G18/((1+'Hipóteses xerais (2)'!$C$33)^(G11))</f>
        <v>#N/A</v>
      </c>
      <c r="H19" s="145" t="e">
        <f>H18/((1+'Hipóteses xerais (2)'!$C$33)^(H11))</f>
        <v>#N/A</v>
      </c>
      <c r="I19" s="145" t="e">
        <f>I18/((1+'Hipóteses xerais (2)'!$C$33)^(I11))</f>
        <v>#N/A</v>
      </c>
      <c r="J19" s="145" t="e">
        <f>J18/((1+'Hipóteses xerais (2)'!$C$33)^(J11))</f>
        <v>#N/A</v>
      </c>
      <c r="K19" s="145" t="e">
        <f>K18/((1+'Hipóteses xerais (2)'!$C$33)^(K11))</f>
        <v>#N/A</v>
      </c>
      <c r="L19" s="145" t="e">
        <f>L18/((1+'Hipóteses xerais (2)'!$C$33)^(L11))</f>
        <v>#N/A</v>
      </c>
      <c r="M19" s="145" t="e">
        <f>M18/((1+'Hipóteses xerais (2)'!$C$33)^(M11))</f>
        <v>#N/A</v>
      </c>
      <c r="N19" s="145" t="e">
        <f>N18/((1+'Hipóteses xerais (2)'!$C$33)^(N11))</f>
        <v>#N/A</v>
      </c>
      <c r="O19" s="145" t="e">
        <f>O18/((1+'Hipóteses xerais (2)'!$C$33)^(O11))</f>
        <v>#N/A</v>
      </c>
      <c r="P19" s="145" t="e">
        <f>P18/((1+'Hipóteses xerais (2)'!$C$33)^(P11))</f>
        <v>#N/A</v>
      </c>
      <c r="Q19" s="145" t="e">
        <f>Q18/((1+'Hipóteses xerais (2)'!$C$33)^(Q11))</f>
        <v>#N/A</v>
      </c>
      <c r="R19" s="145" t="e">
        <f>R18/((1+'Hipóteses xerais (2)'!$C$33)^(R11))</f>
        <v>#N/A</v>
      </c>
      <c r="S19" s="145" t="e">
        <f>S18/((1+'Hipóteses xerais (2)'!$C$33)^(S11))</f>
        <v>#N/A</v>
      </c>
      <c r="T19" s="145" t="e">
        <f>T18/((1+'Hipóteses xerais (2)'!$C$33)^(T11))</f>
        <v>#N/A</v>
      </c>
      <c r="U19" s="145" t="e">
        <f>U18/((1+'Hipóteses xerais (2)'!$C$33)^(U11))</f>
        <v>#N/A</v>
      </c>
      <c r="V19" s="145" t="e">
        <f>V18/((1+'Hipóteses xerais (2)'!$C$33)^(V11))</f>
        <v>#N/A</v>
      </c>
      <c r="W19" s="145" t="e">
        <f>W18/((1+'Hipóteses xerais (2)'!$C$33)^(W11))</f>
        <v>#N/A</v>
      </c>
      <c r="X19" s="145" t="e">
        <f>X18/((1+'Hipóteses xerais (2)'!$C$33)^(X11))</f>
        <v>#N/A</v>
      </c>
      <c r="Y19" s="145" t="e">
        <f>Y18/((1+'Hipóteses xerais (2)'!$C$33)^(Y11))</f>
        <v>#N/A</v>
      </c>
      <c r="Z19" s="145" t="e">
        <f>Z18/((1+'Hipóteses xerais (2)'!$C$33)^(Z11))</f>
        <v>#N/A</v>
      </c>
      <c r="AA19" s="1100"/>
    </row>
    <row r="22" spans="1:27" x14ac:dyDescent="0.3">
      <c r="A22" s="1128" t="s">
        <v>1053</v>
      </c>
      <c r="B22" s="672"/>
    </row>
    <row r="23" spans="1:27" ht="28.8" x14ac:dyDescent="0.3">
      <c r="A23" s="1127" t="s">
        <v>1051</v>
      </c>
      <c r="B23" s="672"/>
    </row>
    <row r="25" spans="1:27" ht="15" thickBot="1" x14ac:dyDescent="0.35"/>
    <row r="26" spans="1:27" ht="15.6" thickTop="1" thickBot="1" x14ac:dyDescent="0.35">
      <c r="A26" s="1096" t="s">
        <v>1074</v>
      </c>
      <c r="B26" s="1095" t="e">
        <f>'Hipóteses xerais (2)'!$F$35/'Hipóteses xerais (2)'!$F$39</f>
        <v>#N/A</v>
      </c>
    </row>
    <row r="27" spans="1:27" x14ac:dyDescent="0.3">
      <c r="A27" s="1094" t="s">
        <v>1058</v>
      </c>
      <c r="B27" s="1093" t="e">
        <f>NPV('Hipóteses xerais (2)'!$C$33,B18:Z18)</f>
        <v>#N/A</v>
      </c>
    </row>
    <row r="28" spans="1:27" ht="15" thickBot="1" x14ac:dyDescent="0.35">
      <c r="A28" s="1092" t="s">
        <v>1057</v>
      </c>
      <c r="B28" s="1091" t="e">
        <f>NPV('Hipóteses xerais (2)'!$C$33,-B26,B18:Z18)</f>
        <v>#N/A</v>
      </c>
    </row>
    <row r="29" spans="1:27" x14ac:dyDescent="0.3">
      <c r="A29" s="1090" t="s">
        <v>1073</v>
      </c>
      <c r="B29" s="1089" t="e">
        <f>IRR(B32:AA32)</f>
        <v>#VALUE!</v>
      </c>
    </row>
    <row r="30" spans="1:27" ht="15" thickBot="1" x14ac:dyDescent="0.35">
      <c r="A30" s="1088" t="s">
        <v>1072</v>
      </c>
      <c r="B30" s="1087" t="e">
        <f>MIRR(B32:AA32,'Hipóteses xerais (2)'!$C$33,'Hipóteses xerais (2)'!$C$33)</f>
        <v>#N/A</v>
      </c>
    </row>
    <row r="31" spans="1:27" ht="15" thickTop="1" x14ac:dyDescent="0.3"/>
    <row r="32" spans="1:27" ht="15" thickBot="1" x14ac:dyDescent="0.35">
      <c r="B32" s="145" t="e">
        <f>-B26</f>
        <v>#N/A</v>
      </c>
      <c r="C32" s="145" t="e">
        <f t="shared" ref="C32:AA32" si="3">B18</f>
        <v>#N/A</v>
      </c>
      <c r="D32" s="145" t="e">
        <f t="shared" si="3"/>
        <v>#N/A</v>
      </c>
      <c r="E32" s="145" t="e">
        <f t="shared" si="3"/>
        <v>#N/A</v>
      </c>
      <c r="F32" s="145" t="e">
        <f t="shared" si="3"/>
        <v>#N/A</v>
      </c>
      <c r="G32" s="145" t="e">
        <f t="shared" si="3"/>
        <v>#N/A</v>
      </c>
      <c r="H32" s="145" t="e">
        <f t="shared" si="3"/>
        <v>#N/A</v>
      </c>
      <c r="I32" s="145" t="e">
        <f t="shared" si="3"/>
        <v>#N/A</v>
      </c>
      <c r="J32" s="145" t="e">
        <f t="shared" si="3"/>
        <v>#N/A</v>
      </c>
      <c r="K32" s="145" t="e">
        <f t="shared" si="3"/>
        <v>#N/A</v>
      </c>
      <c r="L32" s="145" t="e">
        <f t="shared" si="3"/>
        <v>#N/A</v>
      </c>
      <c r="M32" s="145" t="e">
        <f t="shared" si="3"/>
        <v>#N/A</v>
      </c>
      <c r="N32" s="145" t="e">
        <f t="shared" si="3"/>
        <v>#N/A</v>
      </c>
      <c r="O32" s="145" t="e">
        <f t="shared" si="3"/>
        <v>#N/A</v>
      </c>
      <c r="P32" s="145" t="e">
        <f t="shared" si="3"/>
        <v>#N/A</v>
      </c>
      <c r="Q32" s="145" t="e">
        <f t="shared" si="3"/>
        <v>#N/A</v>
      </c>
      <c r="R32" s="145" t="e">
        <f t="shared" si="3"/>
        <v>#N/A</v>
      </c>
      <c r="S32" s="145" t="e">
        <f t="shared" si="3"/>
        <v>#N/A</v>
      </c>
      <c r="T32" s="145" t="e">
        <f t="shared" si="3"/>
        <v>#N/A</v>
      </c>
      <c r="U32" s="145" t="e">
        <f t="shared" si="3"/>
        <v>#N/A</v>
      </c>
      <c r="V32" s="145" t="e">
        <f t="shared" si="3"/>
        <v>#N/A</v>
      </c>
      <c r="W32" s="145" t="e">
        <f t="shared" si="3"/>
        <v>#N/A</v>
      </c>
      <c r="X32" s="145" t="e">
        <f t="shared" si="3"/>
        <v>#N/A</v>
      </c>
      <c r="Y32" s="145" t="e">
        <f t="shared" si="3"/>
        <v>#N/A</v>
      </c>
      <c r="Z32" s="145" t="e">
        <f t="shared" si="3"/>
        <v>#N/A</v>
      </c>
      <c r="AA32" s="145" t="e">
        <f t="shared" si="3"/>
        <v>#N/A</v>
      </c>
    </row>
    <row r="33" spans="1:2" ht="15.6" thickTop="1" thickBot="1" x14ac:dyDescent="0.35">
      <c r="A33" s="965" t="s">
        <v>1054</v>
      </c>
      <c r="B33" s="1086" t="e">
        <f>B26/AVERAGE(B19:Z19)</f>
        <v>#N/A</v>
      </c>
    </row>
    <row r="34" spans="1:2" ht="15" thickTop="1"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D5E1-6D2E-426A-BBB4-27EDDC9C648B}">
  <sheetPr>
    <tabColor rgb="FF7030A0"/>
  </sheetPr>
  <dimension ref="A1:M15"/>
  <sheetViews>
    <sheetView workbookViewId="0">
      <selection activeCell="B1" sqref="B1"/>
    </sheetView>
  </sheetViews>
  <sheetFormatPr baseColWidth="10" defaultColWidth="11.5546875" defaultRowHeight="14.4" x14ac:dyDescent="0.3"/>
  <cols>
    <col min="1" max="1" width="27.77734375" customWidth="1"/>
    <col min="3" max="3" width="16.44140625" customWidth="1"/>
  </cols>
  <sheetData>
    <row r="1" spans="1:13" ht="15" thickBot="1" x14ac:dyDescent="0.35"/>
    <row r="2" spans="1:13" ht="15" thickBot="1" x14ac:dyDescent="0.35">
      <c r="A2" s="1151" t="s">
        <v>568</v>
      </c>
      <c r="B2" s="1151" t="s">
        <v>596</v>
      </c>
      <c r="C2" s="1151" t="s">
        <v>598</v>
      </c>
    </row>
    <row r="3" spans="1:13" x14ac:dyDescent="0.3">
      <c r="A3" s="1149" t="s">
        <v>571</v>
      </c>
      <c r="B3" s="1150">
        <f>'Hip. Custos Factura Eléctrica'!$B$3</f>
        <v>0.1</v>
      </c>
      <c r="C3" s="1149" t="s">
        <v>1081</v>
      </c>
      <c r="F3" s="1084" t="s">
        <v>1053</v>
      </c>
      <c r="G3" s="1083"/>
      <c r="H3" s="1083"/>
      <c r="I3" s="1083"/>
      <c r="J3" s="1083"/>
      <c r="K3" s="1083"/>
      <c r="L3" s="1083"/>
      <c r="M3" s="1082"/>
    </row>
    <row r="4" spans="1:13" x14ac:dyDescent="0.3">
      <c r="A4" t="s">
        <v>574</v>
      </c>
      <c r="B4" s="12">
        <f>'Hip. Custos Factura Eléctrica'!$B$4</f>
        <v>0.03</v>
      </c>
      <c r="C4" t="s">
        <v>1081</v>
      </c>
      <c r="F4" s="680" t="s">
        <v>1051</v>
      </c>
      <c r="G4" s="679"/>
      <c r="H4" s="679"/>
      <c r="I4" s="679"/>
      <c r="J4" s="679"/>
      <c r="K4" s="679"/>
      <c r="L4" s="679"/>
      <c r="M4" s="845"/>
    </row>
    <row r="5" spans="1:13" x14ac:dyDescent="0.3">
      <c r="A5" s="1147" t="s">
        <v>1080</v>
      </c>
      <c r="B5" s="1148">
        <f>'General Real Data (Obs.)'!$E$236</f>
        <v>0.1</v>
      </c>
      <c r="C5" s="1147" t="s">
        <v>1079</v>
      </c>
    </row>
    <row r="6" spans="1:13" ht="15" thickBot="1" x14ac:dyDescent="0.35">
      <c r="A6" s="1146" t="s">
        <v>577</v>
      </c>
      <c r="B6" s="1146">
        <f>'Hip. Custos Factura Eléctrica'!$B$5</f>
        <v>3.8455000000000003E-2</v>
      </c>
      <c r="C6" s="1146" t="s">
        <v>605</v>
      </c>
    </row>
    <row r="7" spans="1:13" ht="15" thickBot="1" x14ac:dyDescent="0.35"/>
    <row r="8" spans="1:13" ht="29.4" thickBot="1" x14ac:dyDescent="0.35">
      <c r="A8" s="1145" t="s">
        <v>579</v>
      </c>
      <c r="B8" s="1144">
        <f>'Hip. Custos Factura Eléctrica'!$B$6</f>
        <v>5.11269632E-2</v>
      </c>
      <c r="C8" s="1140" t="s">
        <v>607</v>
      </c>
      <c r="E8" s="1139" t="s">
        <v>1078</v>
      </c>
      <c r="F8" s="1138"/>
      <c r="G8" s="1137"/>
    </row>
    <row r="9" spans="1:13" ht="29.4" thickBot="1" x14ac:dyDescent="0.35">
      <c r="A9" s="1143" t="s">
        <v>582</v>
      </c>
      <c r="B9" s="1142">
        <f>'Hip. Custos Factura Eléctrica'!$B$7</f>
        <v>5.0000000000000001E-3</v>
      </c>
      <c r="C9" s="1131" t="s">
        <v>607</v>
      </c>
      <c r="E9" s="1134" t="str">
        <f>'Hip. Custos Factura Eléctrica'!$E$7</f>
        <v>Si</v>
      </c>
      <c r="F9" s="633"/>
      <c r="G9" s="956"/>
    </row>
    <row r="10" spans="1:13" ht="15" thickBot="1" x14ac:dyDescent="0.35"/>
    <row r="11" spans="1:13" ht="15" thickBot="1" x14ac:dyDescent="0.35">
      <c r="A11" s="754" t="s">
        <v>585</v>
      </c>
      <c r="B11" s="756">
        <f>'Hip. Custos Factura Eléctrica'!$B$8</f>
        <v>2.6786000000000001E-2</v>
      </c>
      <c r="C11" s="755" t="s">
        <v>605</v>
      </c>
    </row>
    <row r="12" spans="1:13" ht="15" thickBot="1" x14ac:dyDescent="0.35"/>
    <row r="13" spans="1:13" ht="29.4" thickBot="1" x14ac:dyDescent="0.35">
      <c r="A13" s="898" t="s">
        <v>588</v>
      </c>
      <c r="B13" s="1141">
        <f>'Hip. Custos Factura Eléctrica'!$B$9</f>
        <v>0.21</v>
      </c>
      <c r="C13" s="1140" t="s">
        <v>1076</v>
      </c>
      <c r="E13" s="1139" t="s">
        <v>1077</v>
      </c>
      <c r="F13" s="1138"/>
      <c r="G13" s="1137"/>
    </row>
    <row r="14" spans="1:13" ht="29.4" thickBot="1" x14ac:dyDescent="0.35">
      <c r="A14" s="894" t="s">
        <v>591</v>
      </c>
      <c r="B14" s="1136">
        <f>'Hip. Custos Factura Eléctrica'!$B$10</f>
        <v>0.1</v>
      </c>
      <c r="C14" s="1135" t="s">
        <v>1076</v>
      </c>
      <c r="E14" s="1134" t="str">
        <f>'Hip. Custos Factura Eléctrica'!$E$10</f>
        <v>H</v>
      </c>
      <c r="F14" s="633"/>
      <c r="G14" s="956"/>
    </row>
    <row r="15" spans="1:13" ht="29.4" thickBot="1" x14ac:dyDescent="0.35">
      <c r="A15" s="1133" t="s">
        <v>593</v>
      </c>
      <c r="B15" s="1132">
        <f>'Hip. Custos Factura Eléctrica'!$B$11</f>
        <v>0.05</v>
      </c>
      <c r="C15" s="1131" t="s">
        <v>1076</v>
      </c>
    </row>
  </sheetData>
  <dataValidations count="2">
    <dataValidation type="list" allowBlank="1" showDropDown="1" showInputMessage="1" showErrorMessage="1" sqref="E14" xr:uid="{372BDD62-D865-4603-A80B-2B3BE8E03600}">
      <formula1>"H,R,S"</formula1>
    </dataValidation>
    <dataValidation type="list" allowBlank="1" showDropDown="1" showInputMessage="1" showErrorMessage="1" sqref="E9" xr:uid="{430CA118-5CCF-4D9B-B7E1-143718A90267}">
      <formula1>"Si,Non"</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869-C2D9-41C3-9BEC-026E023F66EE}">
  <sheetPr>
    <tabColor rgb="FF7030A0"/>
  </sheetPr>
  <dimension ref="A1:D16"/>
  <sheetViews>
    <sheetView workbookViewId="0">
      <selection activeCell="D1" sqref="D1"/>
    </sheetView>
  </sheetViews>
  <sheetFormatPr baseColWidth="10" defaultColWidth="11.5546875" defaultRowHeight="14.4" x14ac:dyDescent="0.3"/>
  <cols>
    <col min="1" max="1" width="53.44140625" bestFit="1" customWidth="1"/>
    <col min="2" max="2" width="15.5546875" bestFit="1" customWidth="1"/>
    <col min="3" max="3" width="12.44140625" bestFit="1" customWidth="1"/>
  </cols>
  <sheetData>
    <row r="1" spans="1:4" ht="15" thickBot="1" x14ac:dyDescent="0.35">
      <c r="A1" s="624" t="s">
        <v>1088</v>
      </c>
      <c r="B1" s="623" t="s">
        <v>1087</v>
      </c>
      <c r="C1" s="623" t="s">
        <v>199</v>
      </c>
      <c r="D1" s="622" t="s">
        <v>1086</v>
      </c>
    </row>
    <row r="2" spans="1:4" x14ac:dyDescent="0.3">
      <c r="A2" t="str">
        <f>'Datos Custos Factura Eléctrica'!A3</f>
        <v>Termo de Potencia (P1)</v>
      </c>
      <c r="B2" s="1159">
        <f>'Hip. Custos Factura Eléctrica'!$F$3</f>
        <v>3.3</v>
      </c>
      <c r="C2" s="1157">
        <f>'Datos Custos Factura Eléctrica'!B3</f>
        <v>0.1</v>
      </c>
      <c r="D2" s="12">
        <f>B2*C2*(365/12)</f>
        <v>10.037500000000001</v>
      </c>
    </row>
    <row r="3" spans="1:4" x14ac:dyDescent="0.3">
      <c r="A3" t="str">
        <f>'Datos Custos Factura Eléctrica'!A4</f>
        <v>Termo de Potencia (P2)</v>
      </c>
      <c r="B3" s="1159">
        <f>'Hip. Custos Factura Eléctrica'!$F$4</f>
        <v>3.3</v>
      </c>
      <c r="C3" s="1157">
        <f>'Datos Custos Factura Eléctrica'!B4</f>
        <v>0.03</v>
      </c>
      <c r="D3" s="12">
        <f>B3*C3*(365/12)</f>
        <v>3.01125</v>
      </c>
    </row>
    <row r="4" spans="1:4" x14ac:dyDescent="0.3">
      <c r="A4" t="str">
        <f>'Datos Custos Factura Eléctrica'!A5</f>
        <v>Termo de Enerxía (Consumo)</v>
      </c>
      <c r="B4" s="842">
        <f>'General Real Data (Obs.)'!$E$223/12</f>
        <v>294.41000000000003</v>
      </c>
      <c r="C4" s="1157">
        <f>'General Real Data (Obs.)'!$E$236</f>
        <v>0.1</v>
      </c>
      <c r="D4" s="12">
        <f>B4*C4</f>
        <v>29.441000000000003</v>
      </c>
    </row>
    <row r="5" spans="1:4" ht="15" thickBot="1" x14ac:dyDescent="0.35">
      <c r="A5" t="str">
        <f>'Datos Custos Factura Eléctrica'!A6</f>
        <v>Financiación Bono Social</v>
      </c>
      <c r="C5" s="1157">
        <f>'Datos Custos Factura Eléctrica'!B6</f>
        <v>3.8455000000000003E-2</v>
      </c>
      <c r="D5" s="12">
        <f>C5*(365/12)</f>
        <v>1.1696729166666668</v>
      </c>
    </row>
    <row r="6" spans="1:4" ht="15" thickBot="1" x14ac:dyDescent="0.35">
      <c r="A6" s="1156" t="s">
        <v>1085</v>
      </c>
      <c r="B6" s="1155"/>
      <c r="C6" s="1155"/>
      <c r="D6" s="1154">
        <f>SUM(D2:D5)</f>
        <v>43.659422916666671</v>
      </c>
    </row>
    <row r="7" spans="1:4" x14ac:dyDescent="0.3">
      <c r="C7" s="1158"/>
    </row>
    <row r="8" spans="1:4" x14ac:dyDescent="0.3">
      <c r="A8" t="str">
        <f>'Datos Custos Factura Eléctrica'!A9</f>
        <v>Imposto sobre a Electricidade (Tipo Reducido Temporalmente)</v>
      </c>
      <c r="B8" s="145">
        <f>D6</f>
        <v>43.659422916666671</v>
      </c>
      <c r="C8" s="1158">
        <f>IF('Datos Custos Factura Eléctrica'!E9="Si",'Datos Custos Factura Eléctrica'!$B$9,'Datos Custos Factura Eléctrica'!$B$8)</f>
        <v>5.0000000000000001E-3</v>
      </c>
      <c r="D8" s="145">
        <f>B8*C8</f>
        <v>0.21829711458333337</v>
      </c>
    </row>
    <row r="10" spans="1:4" x14ac:dyDescent="0.3">
      <c r="A10" t="str">
        <f>'Datos Custos Factura Eléctrica'!A11</f>
        <v>Aluguer do contador</v>
      </c>
      <c r="C10" s="1157">
        <f>'Datos Custos Factura Eléctrica'!$B$11</f>
        <v>2.6786000000000001E-2</v>
      </c>
      <c r="D10" s="12">
        <f>C10*(365/12)</f>
        <v>0.81474083333333336</v>
      </c>
    </row>
    <row r="11" spans="1:4" ht="15" thickBot="1" x14ac:dyDescent="0.35"/>
    <row r="12" spans="1:4" ht="15" thickBot="1" x14ac:dyDescent="0.35">
      <c r="A12" s="1156" t="s">
        <v>1084</v>
      </c>
      <c r="B12" s="1155"/>
      <c r="C12" s="1155"/>
      <c r="D12" s="1154">
        <f>SUM(D6:D10)</f>
        <v>44.692460864583339</v>
      </c>
    </row>
    <row r="14" spans="1:4" x14ac:dyDescent="0.3">
      <c r="A14" t="s">
        <v>1083</v>
      </c>
      <c r="B14" s="145">
        <f>$D$12</f>
        <v>44.692460864583339</v>
      </c>
      <c r="C14" s="504">
        <f>IF('Datos Custos Factura Eléctrica'!$E$14="H",'Datos Custos Factura Eléctrica'!$B$13,(IF('Datos Custos Factura Eléctrica'!$E$14="R",'Datos Custos Factura Eléctrica'!$B$14,IF('Datos Custos Factura Eléctrica'!$E$14="S",'Datos Custos Factura Eléctrica'!$B$15,"ERRO"))))</f>
        <v>0.21</v>
      </c>
      <c r="D14" s="145">
        <f>B14*C14</f>
        <v>9.3854167815625011</v>
      </c>
    </row>
    <row r="15" spans="1:4" ht="15" thickBot="1" x14ac:dyDescent="0.35"/>
    <row r="16" spans="1:4" ht="15" thickBot="1" x14ac:dyDescent="0.35">
      <c r="A16" s="663" t="s">
        <v>1082</v>
      </c>
      <c r="B16" s="1153"/>
      <c r="C16" s="1153"/>
      <c r="D16" s="1152">
        <f>$D$12+$D$14</f>
        <v>54.077877646145836</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F3FC-93BD-4C49-A911-A5CA7BE600F7}">
  <sheetPr>
    <tabColor rgb="FF7030A0"/>
  </sheetPr>
  <dimension ref="A1:I32"/>
  <sheetViews>
    <sheetView workbookViewId="0">
      <selection activeCell="D33" sqref="D33"/>
    </sheetView>
  </sheetViews>
  <sheetFormatPr baseColWidth="10" defaultColWidth="11.5546875" defaultRowHeight="14.4" x14ac:dyDescent="0.3"/>
  <cols>
    <col min="1" max="1" width="53.44140625" bestFit="1" customWidth="1"/>
    <col min="2" max="2" width="11.77734375" bestFit="1" customWidth="1"/>
    <col min="3" max="3" width="10.44140625" customWidth="1"/>
    <col min="4" max="4" width="9.5546875" customWidth="1"/>
    <col min="7" max="7" width="44.44140625" customWidth="1"/>
    <col min="8" max="8" width="12.77734375" bestFit="1" customWidth="1"/>
  </cols>
  <sheetData>
    <row r="1" spans="1:9" ht="29.4" thickBot="1" x14ac:dyDescent="0.35">
      <c r="A1" s="811" t="str">
        <f>'Simulac. Factura Indiv. Sen CE'!A1</f>
        <v>Concepto Faturado</v>
      </c>
      <c r="B1" s="1183" t="str">
        <f>'Simulac. Factura Indiv. Sen CE'!B1</f>
        <v>Unidades ou Base</v>
      </c>
      <c r="C1" s="1183" t="str">
        <f>'Simulac. Factura Indiv. Sen CE'!C1</f>
        <v>Valor Unitario</v>
      </c>
      <c r="D1" s="1182" t="str">
        <f>'Simulac. Factura Indiv. Sen CE'!D1</f>
        <v>Importe (€)</v>
      </c>
      <c r="H1" s="1097" t="s">
        <v>1113</v>
      </c>
      <c r="I1" s="1097" t="s">
        <v>1112</v>
      </c>
    </row>
    <row r="2" spans="1:9" x14ac:dyDescent="0.3">
      <c r="A2" t="str">
        <f>'Simulac. Factura Indiv. Sen CE'!A2</f>
        <v>Termo de Potencia (P1)</v>
      </c>
      <c r="B2" s="842">
        <f>'Simulac. Factura Indiv. Sen CE'!B2</f>
        <v>3.3</v>
      </c>
      <c r="C2" s="1157">
        <f>'Simulac. Factura Indiv. Sen CE'!C2</f>
        <v>0.1</v>
      </c>
      <c r="D2" s="12">
        <f>B2*C2*(365/12)</f>
        <v>10.037500000000001</v>
      </c>
      <c r="G2" s="1098" t="s">
        <v>1111</v>
      </c>
      <c r="H2" s="931">
        <f>'General Real Data (Obs.)'!$E$228*(('General Real Data (Obs.)'!E229/('General Real Data (Obs.)'!$E$229+'General Real Data (Obs.)'!$E$230+'General Real Data (Obs.)'!$E$231)))</f>
        <v>44660</v>
      </c>
      <c r="I2" s="931">
        <f>H2/12</f>
        <v>3721.6666666666665</v>
      </c>
    </row>
    <row r="3" spans="1:9" x14ac:dyDescent="0.3">
      <c r="A3" t="str">
        <f>'Simulac. Factura Indiv. Sen CE'!A3</f>
        <v>Termo de Potencia (P2)</v>
      </c>
      <c r="B3" s="842">
        <f>'Simulac. Factura Indiv. Sen CE'!B3</f>
        <v>3.3</v>
      </c>
      <c r="C3" s="1157">
        <f>'Simulac. Factura Indiv. Sen CE'!C3</f>
        <v>0.03</v>
      </c>
      <c r="D3" s="12">
        <f>B3*C3*(365/12)</f>
        <v>3.01125</v>
      </c>
      <c r="G3" s="1098" t="s">
        <v>1110</v>
      </c>
      <c r="H3" s="931">
        <f>'General Real Data (Obs.)'!$E$228*(('General Real Data (Obs.)'!E230/('General Real Data (Obs.)'!$E$229+'General Real Data (Obs.)'!$E$230+'General Real Data (Obs.)'!$E$231)))</f>
        <v>44660</v>
      </c>
      <c r="I3" s="931">
        <f>H3/12</f>
        <v>3721.6666666666665</v>
      </c>
    </row>
    <row r="4" spans="1:9" x14ac:dyDescent="0.3">
      <c r="A4" t="str">
        <f>'Simulac. Factura Indiv. Sen CE'!A4</f>
        <v>Termo de Enerxía (Consumo)</v>
      </c>
      <c r="B4" s="6">
        <f>I20</f>
        <v>147.20500000000001</v>
      </c>
      <c r="C4" s="1157">
        <f>'Simulac. Factura Indiv. Sen CE'!C4</f>
        <v>0.1</v>
      </c>
      <c r="D4" s="12">
        <f>B4*C4</f>
        <v>14.720500000000001</v>
      </c>
      <c r="G4" s="1098" t="s">
        <v>1109</v>
      </c>
      <c r="H4" s="931">
        <f>'General Real Data (Obs.)'!$E$228*(('General Real Data (Obs.)'!E231/('General Real Data (Obs.)'!$E$229+'General Real Data (Obs.)'!$E$230+'General Real Data (Obs.)'!$E$231)))</f>
        <v>0</v>
      </c>
      <c r="I4" s="931">
        <f>H4/12</f>
        <v>0</v>
      </c>
    </row>
    <row r="5" spans="1:9" ht="15" thickBot="1" x14ac:dyDescent="0.35">
      <c r="A5" t="str">
        <f>'Simulac. Factura Indiv. Sen CE'!A5</f>
        <v>Financiación Bono Social</v>
      </c>
      <c r="C5" s="1157">
        <f>'Simulac. Factura Indiv. Sen CE'!C5</f>
        <v>3.8455000000000003E-2</v>
      </c>
      <c r="D5" s="12">
        <f>C5*(365/12)</f>
        <v>1.1696729166666668</v>
      </c>
    </row>
    <row r="6" spans="1:9" ht="15" thickBot="1" x14ac:dyDescent="0.35">
      <c r="A6" s="1156" t="str">
        <f>'Simulac. Factura Indiv. Sen CE'!A6</f>
        <v>Subtotal (Suma dos Conceptos Previos)</v>
      </c>
      <c r="B6" s="1155"/>
      <c r="C6" s="1155"/>
      <c r="D6" s="1154">
        <f>SUM(D2:D5)</f>
        <v>28.938922916666669</v>
      </c>
      <c r="G6" s="1098" t="s">
        <v>1108</v>
      </c>
      <c r="H6" s="931">
        <f>SUM(H2:H4)</f>
        <v>89320</v>
      </c>
      <c r="I6" s="931">
        <f>SUM(I2:I4)</f>
        <v>7443.333333333333</v>
      </c>
    </row>
    <row r="7" spans="1:9" x14ac:dyDescent="0.3">
      <c r="A7" s="63"/>
      <c r="B7" s="63"/>
      <c r="C7" s="63"/>
      <c r="D7" s="58"/>
      <c r="G7" s="1181"/>
      <c r="H7" s="1181"/>
      <c r="I7" s="1181"/>
    </row>
    <row r="8" spans="1:9" ht="13.95" customHeight="1" x14ac:dyDescent="0.3">
      <c r="A8" s="63"/>
      <c r="B8" s="63"/>
      <c r="C8" s="63"/>
      <c r="D8" s="58"/>
      <c r="G8" s="667" t="s">
        <v>1107</v>
      </c>
      <c r="H8" s="1180">
        <f>H$6/'General Real Data (Obs.)'!$E$222</f>
        <v>3572.8</v>
      </c>
      <c r="I8" s="1179">
        <f>I$6/'General Real Data (Obs.)'!$E$222</f>
        <v>297.73333333333335</v>
      </c>
    </row>
    <row r="9" spans="1:9" ht="28.8" x14ac:dyDescent="0.3">
      <c r="A9" s="63"/>
      <c r="B9" s="63"/>
      <c r="C9" s="63"/>
      <c r="D9" s="58"/>
      <c r="G9" s="1178" t="s">
        <v>1106</v>
      </c>
      <c r="H9" s="1177">
        <f>'General Real Data (Obs.)'!$E$224*('Simulac. Factura Indiv. Sen CE'!$B$4*12)</f>
        <v>3532.92</v>
      </c>
      <c r="I9" s="1176">
        <f>'General Real Data (Obs.)'!$E$224*('Simulac. Factura Indiv. Sen CE'!$B$4)</f>
        <v>294.41000000000003</v>
      </c>
    </row>
    <row r="10" spans="1:9" ht="43.8" thickBot="1" x14ac:dyDescent="0.35">
      <c r="A10" s="63"/>
      <c r="B10" s="63"/>
      <c r="C10" s="63"/>
      <c r="D10" s="58"/>
      <c r="G10" s="925" t="s">
        <v>1105</v>
      </c>
      <c r="H10" s="1175">
        <f>MIN(H8,H9)</f>
        <v>3532.92</v>
      </c>
      <c r="I10" s="1175">
        <f>MIN(I8,I9)</f>
        <v>294.41000000000003</v>
      </c>
    </row>
    <row r="11" spans="1:9" ht="15" thickBot="1" x14ac:dyDescent="0.35">
      <c r="C11" s="1158"/>
      <c r="G11" s="633" t="s">
        <v>1104</v>
      </c>
      <c r="H11" s="1820">
        <f>'Simulac. Factura Indiv. Sen CE'!$B$4*12</f>
        <v>3532.92</v>
      </c>
      <c r="I11" s="1820">
        <f>'Simulac. Factura Indiv. Sen CE'!$B$4</f>
        <v>294.41000000000003</v>
      </c>
    </row>
    <row r="12" spans="1:9" x14ac:dyDescent="0.3">
      <c r="A12" t="str">
        <f>'Simulac. Factura Indiv. Sen CE'!A8</f>
        <v>Imposto sobre a Electricidade (Tipo Reducido Temporalmente)</v>
      </c>
      <c r="B12" s="145">
        <f>$D$6</f>
        <v>28.938922916666669</v>
      </c>
      <c r="C12" s="1158">
        <f>'Simulac. Factura Indiv. Sen CE'!C8</f>
        <v>5.0000000000000001E-3</v>
      </c>
      <c r="D12" s="145">
        <f>B12*C12</f>
        <v>0.14469461458333335</v>
      </c>
      <c r="G12" t="s">
        <v>1103</v>
      </c>
      <c r="H12" s="6">
        <f>$H$10*('General Real Data (Obs.)'!E229/('General Real Data (Obs.)'!$E$229+'General Real Data (Obs.)'!$E$230+'General Real Data (Obs.)'!$E$231))</f>
        <v>1766.46</v>
      </c>
      <c r="I12" s="6">
        <f>H12/12</f>
        <v>147.20500000000001</v>
      </c>
    </row>
    <row r="13" spans="1:9" x14ac:dyDescent="0.3">
      <c r="G13" t="s">
        <v>1102</v>
      </c>
      <c r="H13" s="6">
        <f>$H$10*('General Real Data (Obs.)'!E230/('General Real Data (Obs.)'!$E$229+'General Real Data (Obs.)'!$E$230+'General Real Data (Obs.)'!$E$231))</f>
        <v>1766.46</v>
      </c>
      <c r="I13" s="6">
        <f>H13/12</f>
        <v>147.20500000000001</v>
      </c>
    </row>
    <row r="14" spans="1:9" x14ac:dyDescent="0.3">
      <c r="A14" t="str">
        <f>'Simulac. Factura Indiv. Sen CE'!A10</f>
        <v>Aluguer do contador</v>
      </c>
      <c r="C14" s="1157">
        <f>'Simulac. Factura Indiv. Sen CE'!C10</f>
        <v>2.6786000000000001E-2</v>
      </c>
      <c r="D14" s="12">
        <f>C14*(365/12)</f>
        <v>0.81474083333333336</v>
      </c>
      <c r="G14" t="s">
        <v>1101</v>
      </c>
      <c r="H14" s="1174">
        <f>$H$10*('General Real Data (Obs.)'!E231/('General Real Data (Obs.)'!$E$229+'General Real Data (Obs.)'!$E$230+'General Real Data (Obs.)'!$E$231))</f>
        <v>0</v>
      </c>
      <c r="I14" s="6">
        <f>H14/12</f>
        <v>0</v>
      </c>
    </row>
    <row r="15" spans="1:9" ht="28.8" x14ac:dyDescent="0.3">
      <c r="G15" s="1173" t="s">
        <v>1100</v>
      </c>
      <c r="H15" s="1172">
        <f>SUM(H12:H14)</f>
        <v>3532.92</v>
      </c>
      <c r="I15" s="1172">
        <f>SUM(I12:I14)</f>
        <v>294.41000000000003</v>
      </c>
    </row>
    <row r="16" spans="1:9" ht="43.8" thickBot="1" x14ac:dyDescent="0.35">
      <c r="G16" s="1171" t="s">
        <v>1099</v>
      </c>
      <c r="H16" s="1170" t="str">
        <f>IF((H15-H10=0), "O.K.", "Erro")</f>
        <v>O.K.</v>
      </c>
      <c r="I16" s="1169" t="str">
        <f>IF((I15-I10=0), "O.K.", "Erro")</f>
        <v>O.K.</v>
      </c>
    </row>
    <row r="17" spans="1:9" ht="15" thickBot="1" x14ac:dyDescent="0.35">
      <c r="A17" s="1156" t="str">
        <f>'Simulac. Factura Indiv. Sen CE'!A12</f>
        <v>Base Impoñible do IVE (Suma dos Conceptos Previos)</v>
      </c>
      <c r="B17" s="1155"/>
      <c r="C17" s="1155"/>
      <c r="D17" s="1154">
        <f>D6+D12+D14</f>
        <v>29.898358364583334</v>
      </c>
      <c r="G17" s="641"/>
      <c r="H17" s="1168"/>
      <c r="I17" s="1168"/>
    </row>
    <row r="18" spans="1:9" ht="28.8" x14ac:dyDescent="0.3">
      <c r="G18" s="1167" t="s">
        <v>1098</v>
      </c>
      <c r="H18" s="1166">
        <f>'General Real Data (Obs.)'!$E$232</f>
        <v>997</v>
      </c>
      <c r="I18" s="1165">
        <f>H18/12</f>
        <v>83.083333333333329</v>
      </c>
    </row>
    <row r="19" spans="1:9" x14ac:dyDescent="0.3">
      <c r="A19" t="str">
        <f>'Simulac. Factura Indiv. Sen CE'!A14</f>
        <v>IVE (Tipo Reducido Temporalmente)</v>
      </c>
      <c r="B19" s="145">
        <f>$D$17</f>
        <v>29.898358364583334</v>
      </c>
      <c r="C19" s="504">
        <f>'Simulac. Factura Indiv. Sen CE'!C14</f>
        <v>0.21</v>
      </c>
      <c r="D19" s="145">
        <f>B19*C19</f>
        <v>6.2786552565624998</v>
      </c>
    </row>
    <row r="20" spans="1:9" ht="15" thickBot="1" x14ac:dyDescent="0.35">
      <c r="G20" s="1098" t="s">
        <v>1097</v>
      </c>
      <c r="H20" s="931">
        <f>IF(H11&gt;H12,(H11-H12),0)</f>
        <v>1766.46</v>
      </c>
      <c r="I20" s="931">
        <f>IF(I11&gt;I12,(I11-I12),0)</f>
        <v>147.20500000000001</v>
      </c>
    </row>
    <row r="21" spans="1:9" ht="15" thickBot="1" x14ac:dyDescent="0.35">
      <c r="A21" s="663" t="str">
        <f>'Simulac. Factura Indiv. Sen CE'!A16</f>
        <v>IMPORTE TOTAL DA FATURA (Base Impoñible + Cota de IVE)</v>
      </c>
      <c r="B21" s="1153"/>
      <c r="C21" s="1153"/>
      <c r="D21" s="1152">
        <f>D17+D19</f>
        <v>36.177013621145832</v>
      </c>
    </row>
    <row r="23" spans="1:9" ht="15" thickBot="1" x14ac:dyDescent="0.35">
      <c r="H23" s="6"/>
    </row>
    <row r="24" spans="1:9" ht="29.4" thickBot="1" x14ac:dyDescent="0.35">
      <c r="A24" s="886" t="s">
        <v>1096</v>
      </c>
      <c r="B24" s="1164" t="s">
        <v>1095</v>
      </c>
      <c r="C24" s="1164" t="s">
        <v>1094</v>
      </c>
      <c r="D24" s="1163" t="s">
        <v>1086</v>
      </c>
    </row>
    <row r="25" spans="1:9" ht="28.8" x14ac:dyDescent="0.3">
      <c r="A25" s="641" t="s">
        <v>1093</v>
      </c>
      <c r="B25" s="1162">
        <f>('General Real Data (Obs.)'!$E$230/'General Real Data (Obs.)'!$E$222)/12</f>
        <v>147.20500000000001</v>
      </c>
      <c r="C25" s="1161">
        <f>'General Real Data (Obs.)'!$E$237</f>
        <v>0.05</v>
      </c>
      <c r="D25" s="1013">
        <f>B25*C25</f>
        <v>7.3602500000000006</v>
      </c>
    </row>
    <row r="26" spans="1:9" ht="15" thickBot="1" x14ac:dyDescent="0.35">
      <c r="A26" s="641" t="s">
        <v>1092</v>
      </c>
      <c r="B26" s="6">
        <f>('General Real Data (Obs.)'!$E$231/'General Real Data (Obs.)'!$E$222)/12</f>
        <v>0</v>
      </c>
      <c r="C26" s="1161">
        <f>'General Real Data (Obs.)'!$E$238</f>
        <v>7.4999999999999997E-2</v>
      </c>
      <c r="D26" s="12">
        <f>B26*C26</f>
        <v>0</v>
      </c>
    </row>
    <row r="27" spans="1:9" ht="15" thickBot="1" x14ac:dyDescent="0.35">
      <c r="A27" s="663" t="s">
        <v>1091</v>
      </c>
      <c r="B27" s="633"/>
      <c r="C27" s="633"/>
      <c r="D27" s="1152">
        <f>SUM(D25:D26)</f>
        <v>7.3602500000000006</v>
      </c>
    </row>
    <row r="29" spans="1:9" ht="15" thickBot="1" x14ac:dyDescent="0.35"/>
    <row r="30" spans="1:9" ht="15" thickBot="1" x14ac:dyDescent="0.35">
      <c r="A30" s="663" t="s">
        <v>1090</v>
      </c>
      <c r="B30" s="1153"/>
      <c r="C30" s="1153"/>
      <c r="D30" s="1160">
        <f>IF(D21&gt;D27,(D21-D27),0)</f>
        <v>28.816763621145832</v>
      </c>
    </row>
    <row r="31" spans="1:9" ht="15" thickBot="1" x14ac:dyDescent="0.35"/>
    <row r="32" spans="1:9" ht="15" thickBot="1" x14ac:dyDescent="0.35">
      <c r="A32" s="663" t="s">
        <v>1089</v>
      </c>
      <c r="B32" s="1153"/>
      <c r="C32" s="1153"/>
      <c r="D32" s="1160">
        <f>IF(D21&gt;D27,0,(D27-D21))</f>
        <v>0</v>
      </c>
    </row>
  </sheetData>
  <conditionalFormatting sqref="H16:I16">
    <cfRule type="cellIs" dxfId="2" priority="1" operator="equal">
      <formula>"""O.K."""</formula>
    </cfRule>
  </conditionalFormatting>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0786-4860-4D98-B17F-49646D0CEC64}">
  <dimension ref="A1:H41"/>
  <sheetViews>
    <sheetView topLeftCell="A25" workbookViewId="0">
      <selection activeCell="F72" sqref="F72:AD72"/>
    </sheetView>
  </sheetViews>
  <sheetFormatPr baseColWidth="10" defaultColWidth="11.5546875" defaultRowHeight="14.4" x14ac:dyDescent="0.3"/>
  <cols>
    <col min="1" max="1" width="56.77734375" customWidth="1"/>
    <col min="4" max="4" width="14.44140625" customWidth="1"/>
    <col min="6" max="6" width="11.44140625" customWidth="1"/>
  </cols>
  <sheetData>
    <row r="1" spans="1:5" ht="15" thickBot="1" x14ac:dyDescent="0.35">
      <c r="A1" s="886" t="s">
        <v>1088</v>
      </c>
      <c r="B1" s="663" t="s">
        <v>1126</v>
      </c>
      <c r="C1" s="662" t="s">
        <v>1125</v>
      </c>
      <c r="D1" s="663" t="s">
        <v>1124</v>
      </c>
      <c r="E1" s="1237" t="s">
        <v>1127</v>
      </c>
    </row>
    <row r="2" spans="1:5" x14ac:dyDescent="0.3">
      <c r="A2" t="s">
        <v>571</v>
      </c>
      <c r="B2" s="145">
        <f>'Simulac. Factura Indiv. Sen CE'!D2</f>
        <v>10.037500000000001</v>
      </c>
      <c r="C2" s="145">
        <f>'Simulac. Factura Indiv. Con CE'!D2</f>
        <v>10.037500000000001</v>
      </c>
      <c r="D2" s="1236">
        <f>C2-B2</f>
        <v>0</v>
      </c>
      <c r="E2" s="1235">
        <f>D2/B2</f>
        <v>0</v>
      </c>
    </row>
    <row r="3" spans="1:5" x14ac:dyDescent="0.3">
      <c r="A3" t="s">
        <v>574</v>
      </c>
      <c r="B3" s="145">
        <f>'Simulac. Factura Indiv. Sen CE'!D3</f>
        <v>3.01125</v>
      </c>
      <c r="C3" s="145">
        <f>'Simulac. Factura Indiv. Con CE'!D3</f>
        <v>3.01125</v>
      </c>
      <c r="D3" s="1236">
        <f>C3-B3</f>
        <v>0</v>
      </c>
      <c r="E3" s="1235">
        <f>D3/B3</f>
        <v>0</v>
      </c>
    </row>
    <row r="4" spans="1:5" x14ac:dyDescent="0.3">
      <c r="A4" t="s">
        <v>1080</v>
      </c>
      <c r="B4" s="145">
        <f>'Simulac. Factura Indiv. Sen CE'!D4</f>
        <v>29.441000000000003</v>
      </c>
      <c r="C4" s="145">
        <f>'Simulac. Factura Indiv. Con CE'!D4</f>
        <v>14.720500000000001</v>
      </c>
      <c r="D4" s="1236">
        <f>C4-B4</f>
        <v>-14.720500000000001</v>
      </c>
      <c r="E4" s="1235">
        <f>D4/B4</f>
        <v>-0.5</v>
      </c>
    </row>
    <row r="5" spans="1:5" ht="15" thickBot="1" x14ac:dyDescent="0.35">
      <c r="A5" t="s">
        <v>577</v>
      </c>
      <c r="B5" s="145">
        <f>'Simulac. Factura Indiv. Sen CE'!D5</f>
        <v>1.1696729166666668</v>
      </c>
      <c r="C5" s="145">
        <f>'Simulac. Factura Indiv. Con CE'!D5</f>
        <v>1.1696729166666668</v>
      </c>
      <c r="D5" s="1236">
        <f>C5-B5</f>
        <v>0</v>
      </c>
      <c r="E5" s="1235">
        <f>D5/B5</f>
        <v>0</v>
      </c>
    </row>
    <row r="6" spans="1:5" ht="15" thickBot="1" x14ac:dyDescent="0.35">
      <c r="A6" s="1156" t="s">
        <v>1085</v>
      </c>
      <c r="B6" s="1231">
        <f>SUM(B2:B5)</f>
        <v>43.659422916666671</v>
      </c>
      <c r="C6" s="1234">
        <f>SUM(C2:C5)</f>
        <v>28.938922916666669</v>
      </c>
      <c r="D6" s="1231">
        <f>C6-B6</f>
        <v>-14.720500000000001</v>
      </c>
      <c r="E6" s="1232">
        <f>D6/B6</f>
        <v>-0.33716661871819098</v>
      </c>
    </row>
    <row r="8" spans="1:5" x14ac:dyDescent="0.3">
      <c r="A8" t="s">
        <v>582</v>
      </c>
      <c r="B8" s="145">
        <f>'Simulac. Factura Indiv. Sen CE'!D8</f>
        <v>0.21829711458333337</v>
      </c>
      <c r="C8" s="145">
        <f>'Simulac. Factura Indiv. Con CE'!D12</f>
        <v>0.14469461458333335</v>
      </c>
      <c r="D8" s="145">
        <f>C8-B8</f>
        <v>-7.3602500000000015E-2</v>
      </c>
      <c r="E8" s="37">
        <f>D8/B8</f>
        <v>-0.33716661871819098</v>
      </c>
    </row>
    <row r="9" spans="1:5" x14ac:dyDescent="0.3">
      <c r="D9" s="145"/>
      <c r="E9" s="37"/>
    </row>
    <row r="10" spans="1:5" x14ac:dyDescent="0.3">
      <c r="A10" t="s">
        <v>585</v>
      </c>
      <c r="B10" s="145">
        <f>'Simulac. Factura Indiv. Sen CE'!D10</f>
        <v>0.81474083333333336</v>
      </c>
      <c r="C10" s="145">
        <f>'Simulac. Factura Indiv. Con CE'!D14</f>
        <v>0.81474083333333336</v>
      </c>
      <c r="D10" s="145">
        <f>C10-B10</f>
        <v>0</v>
      </c>
      <c r="E10" s="37">
        <f>D10/B10</f>
        <v>0</v>
      </c>
    </row>
    <row r="11" spans="1:5" ht="15" thickBot="1" x14ac:dyDescent="0.35"/>
    <row r="12" spans="1:5" ht="15" thickBot="1" x14ac:dyDescent="0.35">
      <c r="A12" s="1156" t="s">
        <v>1084</v>
      </c>
      <c r="B12" s="1231">
        <f>B6+B8+B10</f>
        <v>44.692460864583339</v>
      </c>
      <c r="C12" s="950">
        <f>C6+C8+C10</f>
        <v>29.898358364583334</v>
      </c>
      <c r="D12" s="1233">
        <f>C12-B12</f>
        <v>-14.794102500000005</v>
      </c>
      <c r="E12" s="1232">
        <f>D12/B12</f>
        <v>-0.33102009184111925</v>
      </c>
    </row>
    <row r="14" spans="1:5" x14ac:dyDescent="0.3">
      <c r="A14" t="s">
        <v>1083</v>
      </c>
      <c r="B14" s="145">
        <f>'Simulac. Factura Indiv. Sen CE'!D14</f>
        <v>9.3854167815625011</v>
      </c>
      <c r="C14" s="145">
        <f>'Simulac. Factura Indiv. Con CE'!D19</f>
        <v>6.2786552565624998</v>
      </c>
      <c r="D14" s="145">
        <f>C14-B14</f>
        <v>-3.1067615250000014</v>
      </c>
      <c r="E14" s="504">
        <f>D14/B14</f>
        <v>-0.3310200918411193</v>
      </c>
    </row>
    <row r="15" spans="1:5" ht="15" thickBot="1" x14ac:dyDescent="0.35"/>
    <row r="16" spans="1:5" ht="15" thickBot="1" x14ac:dyDescent="0.35">
      <c r="A16" s="663" t="s">
        <v>1082</v>
      </c>
      <c r="B16" s="1231">
        <f>'Simulac. Factura Indiv. Sen CE'!D16</f>
        <v>54.077877646145836</v>
      </c>
      <c r="C16" s="950">
        <f>'Simulac. Factura Indiv. Con CE'!D21</f>
        <v>36.177013621145832</v>
      </c>
      <c r="D16" s="1030">
        <f>C16-B16</f>
        <v>-17.900864025000004</v>
      </c>
      <c r="E16" s="1230">
        <f>D16/B16</f>
        <v>-0.33102009184111925</v>
      </c>
    </row>
    <row r="18" spans="1:8" ht="15" thickBot="1" x14ac:dyDescent="0.35"/>
    <row r="19" spans="1:8" ht="43.8" thickBot="1" x14ac:dyDescent="0.35">
      <c r="A19" s="1229" t="s">
        <v>1096</v>
      </c>
      <c r="B19" s="885" t="s">
        <v>1126</v>
      </c>
      <c r="C19" s="885" t="s">
        <v>1125</v>
      </c>
      <c r="D19" s="1210" t="s">
        <v>1124</v>
      </c>
      <c r="E19" s="1228" t="s">
        <v>1123</v>
      </c>
      <c r="F19" s="642" t="s">
        <v>1122</v>
      </c>
    </row>
    <row r="20" spans="1:8" ht="28.8" x14ac:dyDescent="0.3">
      <c r="A20" s="1222" t="s">
        <v>1093</v>
      </c>
      <c r="B20" s="1227">
        <v>0</v>
      </c>
      <c r="C20" s="1226">
        <f>'Simulac. Factura Indiv. Con CE'!D25</f>
        <v>7.3602500000000006</v>
      </c>
      <c r="D20" s="1225">
        <f>C20-B20</f>
        <v>7.3602500000000006</v>
      </c>
      <c r="E20" s="1224">
        <f>D20/B16</f>
        <v>0.13610463872419687</v>
      </c>
      <c r="F20" s="1223">
        <f>D20/$C$16</f>
        <v>0.20345101110551203</v>
      </c>
    </row>
    <row r="21" spans="1:8" ht="15" thickBot="1" x14ac:dyDescent="0.35">
      <c r="A21" s="1222" t="s">
        <v>1092</v>
      </c>
      <c r="B21" s="1221">
        <v>0</v>
      </c>
      <c r="C21" s="1220">
        <f>'Simulac. Factura Indiv. Con CE'!D26</f>
        <v>0</v>
      </c>
      <c r="D21" s="1202">
        <f>C21-B21</f>
        <v>0</v>
      </c>
      <c r="E21" s="1219">
        <f>D21/B16</f>
        <v>0</v>
      </c>
      <c r="F21" s="1199">
        <f>D21/$C$16</f>
        <v>0</v>
      </c>
    </row>
    <row r="22" spans="1:8" ht="15" thickBot="1" x14ac:dyDescent="0.35">
      <c r="A22" s="1218" t="s">
        <v>1091</v>
      </c>
      <c r="B22" s="1217">
        <f>SUM(B20:B21)</f>
        <v>0</v>
      </c>
      <c r="C22" s="1216">
        <f>SUM(C20:C21)</f>
        <v>7.3602500000000006</v>
      </c>
      <c r="D22" s="1215">
        <f>C22-B22</f>
        <v>7.3602500000000006</v>
      </c>
      <c r="E22" s="1214">
        <f>D22/B16</f>
        <v>0.13610463872419687</v>
      </c>
      <c r="F22" s="1213">
        <f>D22/$C$16</f>
        <v>0.20345101110551203</v>
      </c>
    </row>
    <row r="23" spans="1:8" ht="15" thickBot="1" x14ac:dyDescent="0.35"/>
    <row r="24" spans="1:8" ht="43.8" thickBot="1" x14ac:dyDescent="0.35">
      <c r="B24" s="1212" t="s">
        <v>1126</v>
      </c>
      <c r="C24" s="1211" t="s">
        <v>1125</v>
      </c>
      <c r="D24" s="1210" t="s">
        <v>1124</v>
      </c>
      <c r="E24" s="1209" t="s">
        <v>1123</v>
      </c>
      <c r="F24" s="1208" t="s">
        <v>1122</v>
      </c>
    </row>
    <row r="25" spans="1:8" ht="15" thickBot="1" x14ac:dyDescent="0.35">
      <c r="A25" s="663" t="s">
        <v>1090</v>
      </c>
      <c r="B25" s="1207">
        <f>$B$16</f>
        <v>54.077877646145836</v>
      </c>
      <c r="C25" s="896">
        <f>'Simulac. Factura Indiv. Con CE'!D30</f>
        <v>28.816763621145832</v>
      </c>
      <c r="D25" s="1206">
        <f>C25-B25</f>
        <v>-25.261114025000005</v>
      </c>
      <c r="E25" s="1205">
        <f>D25/$B$16</f>
        <v>-0.46712473056531612</v>
      </c>
      <c r="F25" s="1204">
        <f>D25/$C$16</f>
        <v>-0.69826421521522786</v>
      </c>
    </row>
    <row r="26" spans="1:8" ht="15" thickBot="1" x14ac:dyDescent="0.35">
      <c r="A26" s="1203" t="s">
        <v>1089</v>
      </c>
      <c r="B26" s="1202">
        <v>0</v>
      </c>
      <c r="C26" s="1056">
        <f>MAX(0,(C22-C16))</f>
        <v>0</v>
      </c>
      <c r="D26" s="1201">
        <f>C26-B26</f>
        <v>0</v>
      </c>
      <c r="E26" s="1200">
        <f>D26/$B$16</f>
        <v>0</v>
      </c>
      <c r="F26" s="1199">
        <f>D26/C16</f>
        <v>0</v>
      </c>
    </row>
    <row r="27" spans="1:8" ht="16.8" thickBot="1" x14ac:dyDescent="0.5">
      <c r="A27" s="685" t="s">
        <v>1121</v>
      </c>
      <c r="B27" s="1198"/>
      <c r="C27" s="1197"/>
      <c r="D27" s="1196">
        <f>-D25+D26</f>
        <v>25.261114025000005</v>
      </c>
      <c r="E27" s="1195">
        <f>D27/$B$16</f>
        <v>0.46712473056531612</v>
      </c>
      <c r="F27" s="1194">
        <f>D27/$C$16</f>
        <v>0.69826421521522786</v>
      </c>
      <c r="H27" s="38"/>
    </row>
    <row r="31" spans="1:8" x14ac:dyDescent="0.3">
      <c r="A31" s="147" t="s">
        <v>1120</v>
      </c>
    </row>
    <row r="32" spans="1:8" ht="15" thickBot="1" x14ac:dyDescent="0.35"/>
    <row r="33" spans="1:3" ht="15" thickBot="1" x14ac:dyDescent="0.35">
      <c r="A33" s="1193" t="s">
        <v>1119</v>
      </c>
    </row>
    <row r="34" spans="1:3" ht="15" thickBot="1" x14ac:dyDescent="0.35">
      <c r="A34" s="1192" t="s">
        <v>1118</v>
      </c>
      <c r="B34" s="1191" t="e">
        <f>'Hipóteses xerais (2)'!$I$52/12</f>
        <v>#N/A</v>
      </c>
    </row>
    <row r="35" spans="1:3" ht="15" thickBot="1" x14ac:dyDescent="0.35"/>
    <row r="36" spans="1:3" ht="15" thickBot="1" x14ac:dyDescent="0.35">
      <c r="B36" s="1190" t="s">
        <v>851</v>
      </c>
      <c r="C36" s="809" t="s">
        <v>850</v>
      </c>
    </row>
    <row r="37" spans="1:3" ht="43.2" x14ac:dyDescent="0.3">
      <c r="A37" s="1145" t="s">
        <v>1117</v>
      </c>
      <c r="B37" s="1189">
        <f>$D$27</f>
        <v>25.261114025000005</v>
      </c>
      <c r="C37" s="1188">
        <f>B37*12</f>
        <v>303.13336830000003</v>
      </c>
    </row>
    <row r="38" spans="1:3" ht="28.8" x14ac:dyDescent="0.3">
      <c r="A38" s="1187" t="s">
        <v>1116</v>
      </c>
      <c r="B38" s="1068" t="e">
        <f>'Hipóteses xerais (2)'!$F$41</f>
        <v>#N/A</v>
      </c>
      <c r="C38" s="892" t="e">
        <f>B38*12</f>
        <v>#N/A</v>
      </c>
    </row>
    <row r="39" spans="1:3" ht="15" thickBot="1" x14ac:dyDescent="0.35">
      <c r="A39" s="1186" t="s">
        <v>1115</v>
      </c>
      <c r="B39" s="1185" t="e">
        <f>B37-B38</f>
        <v>#N/A</v>
      </c>
      <c r="C39" s="942" t="e">
        <f>C37-C38</f>
        <v>#N/A</v>
      </c>
    </row>
    <row r="40" spans="1:3" ht="15" thickBot="1" x14ac:dyDescent="0.35"/>
    <row r="41" spans="1:3" ht="15" thickBot="1" x14ac:dyDescent="0.35">
      <c r="A41" s="663" t="s">
        <v>1114</v>
      </c>
      <c r="B41" s="1184" t="e">
        <f>B39/'Simulac. Factura Indiv. Sen CE'!$D$16</f>
        <v>#N/A</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6F7BB-5FA5-488A-B894-E209C75D9586}">
  <dimension ref="A1:K27"/>
  <sheetViews>
    <sheetView workbookViewId="0">
      <selection activeCell="C2" sqref="C2"/>
    </sheetView>
  </sheetViews>
  <sheetFormatPr baseColWidth="10" defaultColWidth="8.88671875" defaultRowHeight="14.4" x14ac:dyDescent="0.3"/>
  <cols>
    <col min="1" max="1" width="10.5546875" bestFit="1" customWidth="1"/>
    <col min="2" max="2" width="21.109375" customWidth="1"/>
    <col min="3" max="3" width="12.5546875" customWidth="1"/>
    <col min="6" max="6" width="11.88671875" customWidth="1"/>
  </cols>
  <sheetData>
    <row r="1" spans="1:11" ht="43.8" thickBot="1" x14ac:dyDescent="0.35">
      <c r="A1" s="811" t="s">
        <v>1136</v>
      </c>
      <c r="B1" s="1077" t="s">
        <v>1135</v>
      </c>
      <c r="C1" s="1076" t="s">
        <v>1134</v>
      </c>
    </row>
    <row r="2" spans="1:11" ht="15" thickBot="1" x14ac:dyDescent="0.35">
      <c r="A2" s="804">
        <v>1</v>
      </c>
      <c r="B2" s="1249">
        <f t="shared" ref="B2:B26" ca="1" si="0">RANDBETWEEN($F$6,$F$3)</f>
        <v>438</v>
      </c>
      <c r="C2" s="1240">
        <f ca="1">(INDEX('Factura Socios Con CE'!$B$55:$Z$55,,A2))/'Factura Socios Con CE'!$AA$55</f>
        <v>5.6545313710302095E-2</v>
      </c>
      <c r="F2" s="1203" t="s">
        <v>1133</v>
      </c>
      <c r="G2" s="637"/>
      <c r="H2" s="637"/>
      <c r="I2" s="636"/>
    </row>
    <row r="3" spans="1:11" ht="15" thickBot="1" x14ac:dyDescent="0.35">
      <c r="A3" s="797">
        <v>2</v>
      </c>
      <c r="B3" s="1242">
        <f t="shared" ca="1" si="0"/>
        <v>88</v>
      </c>
      <c r="C3" s="1240">
        <f ca="1">(INDEX('Factura Socios Con CE'!$B$55:$Z$55,,A3))/'Factura Socios Con CE'!$AA$55</f>
        <v>1.1360702297960238E-2</v>
      </c>
      <c r="F3" s="1248">
        <f>'Hip. Custos Factura Eléctrica'!$B$21</f>
        <v>525</v>
      </c>
      <c r="G3" s="1247" t="s">
        <v>1095</v>
      </c>
      <c r="H3" s="633"/>
      <c r="I3" s="956"/>
    </row>
    <row r="4" spans="1:11" ht="15" thickBot="1" x14ac:dyDescent="0.35">
      <c r="A4" s="797">
        <v>3</v>
      </c>
      <c r="B4" s="1242">
        <f t="shared" ca="1" si="0"/>
        <v>513</v>
      </c>
      <c r="C4" s="1240">
        <f ca="1">(INDEX('Factura Socios Con CE'!$B$55:$Z$55,,A4))/'Factura Socios Con CE'!$AA$55</f>
        <v>6.6227730441518209E-2</v>
      </c>
    </row>
    <row r="5" spans="1:11" ht="15" thickBot="1" x14ac:dyDescent="0.35">
      <c r="A5" s="797">
        <v>4</v>
      </c>
      <c r="B5" s="1242">
        <f t="shared" ca="1" si="0"/>
        <v>392</v>
      </c>
      <c r="C5" s="1240">
        <f ca="1">(INDEX('Factura Socios Con CE'!$B$55:$Z$55,,A5))/'Factura Socios Con CE'!$AA$55</f>
        <v>5.0606764781822876E-2</v>
      </c>
      <c r="F5" s="1203" t="s">
        <v>1132</v>
      </c>
      <c r="G5" s="637"/>
      <c r="H5" s="637"/>
      <c r="I5" s="636"/>
    </row>
    <row r="6" spans="1:11" ht="15" thickBot="1" x14ac:dyDescent="0.35">
      <c r="A6" s="797">
        <v>5</v>
      </c>
      <c r="B6" s="1242">
        <f t="shared" ca="1" si="0"/>
        <v>367</v>
      </c>
      <c r="C6" s="1240">
        <f ca="1">(INDEX('Factura Socios Con CE'!$B$55:$Z$55,,A6))/'Factura Socios Con CE'!$AA$55</f>
        <v>4.7379292538084171E-2</v>
      </c>
      <c r="F6" s="1821">
        <f>'Hip. Custos Factura Eléctrica'!$B$22</f>
        <v>75</v>
      </c>
      <c r="G6" s="1247" t="s">
        <v>1095</v>
      </c>
      <c r="H6" s="633"/>
      <c r="I6" s="956"/>
    </row>
    <row r="7" spans="1:11" ht="15" thickBot="1" x14ac:dyDescent="0.35">
      <c r="A7" s="797">
        <v>6</v>
      </c>
      <c r="B7" s="1242">
        <f t="shared" ca="1" si="0"/>
        <v>372</v>
      </c>
      <c r="C7" s="1240">
        <f ca="1">(INDEX('Factura Socios Con CE'!$B$55:$Z$55,,A7))/'Factura Socios Con CE'!$AA$55</f>
        <v>4.8024786986831915E-2</v>
      </c>
    </row>
    <row r="8" spans="1:11" ht="15" thickBot="1" x14ac:dyDescent="0.35">
      <c r="A8" s="797">
        <v>7</v>
      </c>
      <c r="B8" s="1242">
        <f t="shared" ca="1" si="0"/>
        <v>251</v>
      </c>
      <c r="C8" s="1240">
        <f ca="1">(INDEX('Factura Socios Con CE'!$B$55:$Z$55,,A8))/'Factura Socios Con CE'!$AA$55</f>
        <v>3.2403821327136588E-2</v>
      </c>
      <c r="F8" s="663" t="s">
        <v>1131</v>
      </c>
      <c r="G8" s="633"/>
      <c r="H8" s="633"/>
      <c r="I8" s="956"/>
    </row>
    <row r="9" spans="1:11" x14ac:dyDescent="0.3">
      <c r="A9" s="797">
        <v>8</v>
      </c>
      <c r="B9" s="1242">
        <f t="shared" ca="1" si="0"/>
        <v>384</v>
      </c>
      <c r="C9" s="1240">
        <f ca="1">(INDEX('Factura Socios Con CE'!$B$55:$Z$55,,A9))/'Factura Socios Con CE'!$AA$55</f>
        <v>4.9573973663826494E-2</v>
      </c>
      <c r="F9" s="1246">
        <f ca="1">SUM(B2:B26)</f>
        <v>7746</v>
      </c>
      <c r="G9" s="637" t="s">
        <v>1095</v>
      </c>
      <c r="H9" s="637"/>
      <c r="I9" s="636"/>
    </row>
    <row r="10" spans="1:11" ht="15" thickBot="1" x14ac:dyDescent="0.35">
      <c r="A10" s="797">
        <v>9</v>
      </c>
      <c r="B10" s="1242">
        <f t="shared" ca="1" si="0"/>
        <v>112</v>
      </c>
      <c r="C10" s="1240">
        <f ca="1">(INDEX('Factura Socios Con CE'!$B$55:$Z$55,,A10))/'Factura Socios Con CE'!$AA$55</f>
        <v>1.4459075651949394E-2</v>
      </c>
      <c r="F10" s="1245">
        <f ca="1">F9/1000</f>
        <v>7.7460000000000004</v>
      </c>
      <c r="G10" s="628" t="s">
        <v>976</v>
      </c>
      <c r="H10" s="628"/>
      <c r="I10" s="1244"/>
    </row>
    <row r="11" spans="1:11" x14ac:dyDescent="0.3">
      <c r="A11" s="797">
        <v>10</v>
      </c>
      <c r="B11" s="1242">
        <f t="shared" ca="1" si="0"/>
        <v>344</v>
      </c>
      <c r="C11" s="1240">
        <f ca="1">(INDEX('Factura Socios Con CE'!$B$55:$Z$55,,A11))/'Factura Socios Con CE'!$AA$55</f>
        <v>4.4410018073844565E-2</v>
      </c>
    </row>
    <row r="12" spans="1:11" ht="15" thickBot="1" x14ac:dyDescent="0.35">
      <c r="A12" s="797">
        <v>11</v>
      </c>
      <c r="B12" s="1242">
        <f t="shared" ca="1" si="0"/>
        <v>119</v>
      </c>
      <c r="C12" s="1240">
        <f ca="1">(INDEX('Factura Socios Con CE'!$B$55:$Z$55,,A12))/'Factura Socios Con CE'!$AA$55</f>
        <v>1.536276788019623E-2</v>
      </c>
    </row>
    <row r="13" spans="1:11" ht="15" thickBot="1" x14ac:dyDescent="0.35">
      <c r="A13" s="797">
        <v>12</v>
      </c>
      <c r="B13" s="1242">
        <f t="shared" ca="1" si="0"/>
        <v>476</v>
      </c>
      <c r="C13" s="1240">
        <f ca="1">(INDEX('Factura Socios Con CE'!$B$55:$Z$55,,A13))/'Factura Socios Con CE'!$AA$55</f>
        <v>6.1451071520784918E-2</v>
      </c>
      <c r="F13" s="663" t="s">
        <v>1130</v>
      </c>
      <c r="G13" s="633"/>
      <c r="H13" s="633"/>
      <c r="I13" s="633"/>
      <c r="J13" s="633"/>
      <c r="K13" s="956"/>
    </row>
    <row r="14" spans="1:11" ht="15" thickBot="1" x14ac:dyDescent="0.35">
      <c r="A14" s="797">
        <v>13</v>
      </c>
      <c r="B14" s="1242">
        <f t="shared" ca="1" si="0"/>
        <v>400</v>
      </c>
      <c r="C14" s="1240">
        <f ca="1">(INDEX('Factura Socios Con CE'!$B$55:$Z$55,,A14))/'Factura Socios Con CE'!$AA$55</f>
        <v>5.1639555899819264E-2</v>
      </c>
      <c r="F14" s="1243">
        <v>0.1</v>
      </c>
      <c r="G14" s="633"/>
      <c r="H14" s="633"/>
      <c r="I14" s="633"/>
      <c r="J14" s="633"/>
      <c r="K14" s="956"/>
    </row>
    <row r="15" spans="1:11" ht="15" thickBot="1" x14ac:dyDescent="0.35">
      <c r="A15" s="797">
        <v>14</v>
      </c>
      <c r="B15" s="1242">
        <f t="shared" ca="1" si="0"/>
        <v>503</v>
      </c>
      <c r="C15" s="1240">
        <f ca="1">(INDEX('Factura Socios Con CE'!$B$55:$Z$55,,A15))/'Factura Socios Con CE'!$AA$55</f>
        <v>6.4936741544022722E-2</v>
      </c>
    </row>
    <row r="16" spans="1:11" ht="15" thickBot="1" x14ac:dyDescent="0.35">
      <c r="A16" s="797">
        <v>15</v>
      </c>
      <c r="B16" s="1242">
        <f t="shared" ca="1" si="0"/>
        <v>134</v>
      </c>
      <c r="C16" s="1240">
        <f ca="1">(INDEX('Factura Socios Con CE'!$B$55:$Z$55,,A16))/'Factura Socios Con CE'!$AA$55</f>
        <v>1.7299251226439452E-2</v>
      </c>
      <c r="F16" s="663" t="s">
        <v>1129</v>
      </c>
      <c r="G16" s="662"/>
      <c r="H16" s="662"/>
      <c r="I16" s="662"/>
      <c r="J16" s="662"/>
      <c r="K16" s="1237"/>
    </row>
    <row r="17" spans="1:11" ht="15" thickBot="1" x14ac:dyDescent="0.35">
      <c r="A17" s="797">
        <v>16</v>
      </c>
      <c r="B17" s="1242">
        <f t="shared" ca="1" si="0"/>
        <v>234</v>
      </c>
      <c r="C17" s="1240">
        <f ca="1">(INDEX('Factura Socios Con CE'!$B$55:$Z$55,,A17))/'Factura Socios Con CE'!$AA$55</f>
        <v>3.0209140201394268E-2</v>
      </c>
      <c r="F17" s="1243">
        <v>0.5</v>
      </c>
      <c r="G17" s="633"/>
      <c r="H17" s="633"/>
      <c r="I17" s="633"/>
      <c r="J17" s="633"/>
      <c r="K17" s="956"/>
    </row>
    <row r="18" spans="1:11" x14ac:dyDescent="0.3">
      <c r="A18" s="797">
        <v>17</v>
      </c>
      <c r="B18" s="1242">
        <f t="shared" ca="1" si="0"/>
        <v>142</v>
      </c>
      <c r="C18" s="1240">
        <f ca="1">(INDEX('Factura Socios Con CE'!$B$55:$Z$55,,A18))/'Factura Socios Con CE'!$AA$55</f>
        <v>1.8332042344435837E-2</v>
      </c>
    </row>
    <row r="19" spans="1:11" x14ac:dyDescent="0.3">
      <c r="A19" s="797">
        <v>18</v>
      </c>
      <c r="B19" s="1242">
        <f t="shared" ca="1" si="0"/>
        <v>278</v>
      </c>
      <c r="C19" s="1240">
        <f ca="1">(INDEX('Factura Socios Con CE'!$B$55:$Z$55,,A19))/'Factura Socios Con CE'!$AA$55</f>
        <v>3.5889491350374385E-2</v>
      </c>
    </row>
    <row r="20" spans="1:11" x14ac:dyDescent="0.3">
      <c r="A20" s="797">
        <v>19</v>
      </c>
      <c r="B20" s="1242">
        <f t="shared" ca="1" si="0"/>
        <v>514</v>
      </c>
      <c r="C20" s="1240">
        <f ca="1">(INDEX('Factura Socios Con CE'!$B$55:$Z$55,,A20))/'Factura Socios Con CE'!$AA$55</f>
        <v>6.6356829331267755E-2</v>
      </c>
    </row>
    <row r="21" spans="1:11" x14ac:dyDescent="0.3">
      <c r="A21" s="797">
        <v>20</v>
      </c>
      <c r="B21" s="1242">
        <f t="shared" ca="1" si="0"/>
        <v>413</v>
      </c>
      <c r="C21" s="1240">
        <f ca="1">(INDEX('Factura Socios Con CE'!$B$55:$Z$55,,A21))/'Factura Socios Con CE'!$AA$55</f>
        <v>5.331784146656339E-2</v>
      </c>
    </row>
    <row r="22" spans="1:11" x14ac:dyDescent="0.3">
      <c r="A22" s="797">
        <v>21</v>
      </c>
      <c r="B22" s="1242">
        <f t="shared" ca="1" si="0"/>
        <v>167</v>
      </c>
      <c r="C22" s="1240">
        <f ca="1">(INDEX('Factura Socios Con CE'!$B$55:$Z$55,,A22))/'Factura Socios Con CE'!$AA$55</f>
        <v>2.1559514588174542E-2</v>
      </c>
    </row>
    <row r="23" spans="1:11" x14ac:dyDescent="0.3">
      <c r="A23" s="797">
        <v>22</v>
      </c>
      <c r="B23" s="1242">
        <f t="shared" ca="1" si="0"/>
        <v>254</v>
      </c>
      <c r="C23" s="1240">
        <f ca="1">(INDEX('Factura Socios Con CE'!$B$55:$Z$55,,A23))/'Factura Socios Con CE'!$AA$55</f>
        <v>3.2791117996385233E-2</v>
      </c>
    </row>
    <row r="24" spans="1:11" x14ac:dyDescent="0.3">
      <c r="A24" s="797">
        <v>23</v>
      </c>
      <c r="B24" s="1242">
        <f t="shared" ca="1" si="0"/>
        <v>100</v>
      </c>
      <c r="C24" s="1240">
        <f ca="1">(INDEX('Factura Socios Con CE'!$B$55:$Z$55,,A24))/'Factura Socios Con CE'!$AA$55</f>
        <v>1.2909888974954816E-2</v>
      </c>
    </row>
    <row r="25" spans="1:11" x14ac:dyDescent="0.3">
      <c r="A25" s="797">
        <v>24</v>
      </c>
      <c r="B25" s="1242">
        <f t="shared" ca="1" si="0"/>
        <v>363</v>
      </c>
      <c r="C25" s="1240">
        <f ca="1">(INDEX('Factura Socios Con CE'!$B$55:$Z$55,,A25))/'Factura Socios Con CE'!$AA$55</f>
        <v>4.686289697908598E-2</v>
      </c>
    </row>
    <row r="26" spans="1:11" ht="15" thickBot="1" x14ac:dyDescent="0.35">
      <c r="A26" s="937">
        <v>25</v>
      </c>
      <c r="B26" s="1241">
        <f t="shared" ca="1" si="0"/>
        <v>388</v>
      </c>
      <c r="C26" s="1240">
        <f ca="1">(INDEX('Factura Socios Con CE'!$B$55:$Z$55,,A26))/'Factura Socios Con CE'!$AA$55</f>
        <v>5.0090369222824685E-2</v>
      </c>
    </row>
    <row r="27" spans="1:11" ht="43.8" thickBot="1" x14ac:dyDescent="0.35">
      <c r="A27" s="905" t="s">
        <v>1128</v>
      </c>
      <c r="B27" s="1239">
        <f ca="1">SUM(B2:B26)</f>
        <v>7746</v>
      </c>
      <c r="C27" s="1238">
        <f ca="1">SUM(C2:C26)</f>
        <v>1</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61ECC-0D30-43E0-A501-EE533F645BCA}">
  <dimension ref="A1:AA26"/>
  <sheetViews>
    <sheetView workbookViewId="0">
      <selection activeCell="B5" sqref="B5"/>
    </sheetView>
  </sheetViews>
  <sheetFormatPr baseColWidth="10" defaultColWidth="11.5546875" defaultRowHeight="14.4" x14ac:dyDescent="0.3"/>
  <cols>
    <col min="1" max="1" width="53.44140625" bestFit="1" customWidth="1"/>
    <col min="2" max="2" width="12.109375" bestFit="1" customWidth="1"/>
    <col min="3" max="3" width="13.88671875" customWidth="1"/>
    <col min="27" max="27" width="11.44140625" bestFit="1" customWidth="1"/>
  </cols>
  <sheetData>
    <row r="1" spans="1:27" x14ac:dyDescent="0.3">
      <c r="B1" s="169" t="s">
        <v>1136</v>
      </c>
      <c r="C1" s="1261"/>
    </row>
    <row r="2" spans="1:27" ht="43.2" x14ac:dyDescent="0.3">
      <c r="B2" s="389">
        <v>1</v>
      </c>
      <c r="C2" s="389">
        <v>2</v>
      </c>
      <c r="D2" s="389">
        <v>3</v>
      </c>
      <c r="E2" s="389">
        <v>4</v>
      </c>
      <c r="F2" s="389">
        <v>5</v>
      </c>
      <c r="G2" s="389">
        <v>6</v>
      </c>
      <c r="H2" s="389">
        <v>7</v>
      </c>
      <c r="I2" s="389">
        <v>8</v>
      </c>
      <c r="J2" s="389">
        <v>9</v>
      </c>
      <c r="K2" s="389">
        <v>10</v>
      </c>
      <c r="L2" s="389">
        <v>11</v>
      </c>
      <c r="M2" s="389">
        <v>12</v>
      </c>
      <c r="N2" s="389">
        <v>13</v>
      </c>
      <c r="O2" s="389">
        <v>14</v>
      </c>
      <c r="P2" s="389">
        <v>15</v>
      </c>
      <c r="Q2" s="389">
        <v>16</v>
      </c>
      <c r="R2" s="389">
        <v>17</v>
      </c>
      <c r="S2" s="389">
        <v>18</v>
      </c>
      <c r="T2" s="389">
        <v>19</v>
      </c>
      <c r="U2" s="389">
        <v>20</v>
      </c>
      <c r="V2" s="389">
        <v>21</v>
      </c>
      <c r="W2" s="389">
        <v>22</v>
      </c>
      <c r="X2" s="389">
        <v>23</v>
      </c>
      <c r="Y2" s="389">
        <v>24</v>
      </c>
      <c r="Z2" s="389">
        <v>25</v>
      </c>
      <c r="AA2" s="389" t="s">
        <v>1128</v>
      </c>
    </row>
    <row r="3" spans="1:27" x14ac:dyDescent="0.3">
      <c r="A3" s="411" t="s">
        <v>571</v>
      </c>
      <c r="B3" s="1260">
        <f>'Simulac. Factura Indiv. Sen CE'!$B$3*(365/12)*'Datos Custos Factura Eléctrica'!$B$3</f>
        <v>10.037500000000001</v>
      </c>
      <c r="C3" s="1260">
        <f>'Simulac. Factura Indiv. Sen CE'!$B$3*(365/12)*'Datos Custos Factura Eléctrica'!$B$3</f>
        <v>10.037500000000001</v>
      </c>
      <c r="D3" s="1260">
        <f>'Simulac. Factura Indiv. Sen CE'!$B$3*(365/12)*'Datos Custos Factura Eléctrica'!$B$3</f>
        <v>10.037500000000001</v>
      </c>
      <c r="E3" s="1260">
        <f>'Simulac. Factura Indiv. Sen CE'!$B$3*(365/12)*'Datos Custos Factura Eléctrica'!$B$3</f>
        <v>10.037500000000001</v>
      </c>
      <c r="F3" s="1260">
        <f>'Simulac. Factura Indiv. Sen CE'!$B$3*(365/12)*'Datos Custos Factura Eléctrica'!$B$3</f>
        <v>10.037500000000001</v>
      </c>
      <c r="G3" s="1260">
        <f>'Simulac. Factura Indiv. Sen CE'!$B$3*(365/12)*'Datos Custos Factura Eléctrica'!$B$3</f>
        <v>10.037500000000001</v>
      </c>
      <c r="H3" s="1260">
        <f>'Simulac. Factura Indiv. Sen CE'!$B$3*(365/12)*'Datos Custos Factura Eléctrica'!$B$3</f>
        <v>10.037500000000001</v>
      </c>
      <c r="I3" s="1260">
        <f>'Simulac. Factura Indiv. Sen CE'!$B$3*(365/12)*'Datos Custos Factura Eléctrica'!$B$3</f>
        <v>10.037500000000001</v>
      </c>
      <c r="J3" s="1260">
        <f>'Simulac. Factura Indiv. Sen CE'!$B$3*(365/12)*'Datos Custos Factura Eléctrica'!$B$3</f>
        <v>10.037500000000001</v>
      </c>
      <c r="K3" s="1260">
        <f>'Simulac. Factura Indiv. Sen CE'!$B$3*(365/12)*'Datos Custos Factura Eléctrica'!$B$3</f>
        <v>10.037500000000001</v>
      </c>
      <c r="L3" s="1260">
        <f>'Simulac. Factura Indiv. Sen CE'!$B$3*(365/12)*'Datos Custos Factura Eléctrica'!$B$3</f>
        <v>10.037500000000001</v>
      </c>
      <c r="M3" s="1260">
        <f>'Simulac. Factura Indiv. Sen CE'!$B$3*(365/12)*'Datos Custos Factura Eléctrica'!$B$3</f>
        <v>10.037500000000001</v>
      </c>
      <c r="N3" s="1260">
        <f>'Simulac. Factura Indiv. Sen CE'!$B$3*(365/12)*'Datos Custos Factura Eléctrica'!$B$3</f>
        <v>10.037500000000001</v>
      </c>
      <c r="O3" s="1260">
        <f>'Simulac. Factura Indiv. Sen CE'!$B$3*(365/12)*'Datos Custos Factura Eléctrica'!$B$3</f>
        <v>10.037500000000001</v>
      </c>
      <c r="P3" s="1260">
        <f>'Simulac. Factura Indiv. Sen CE'!$B$3*(365/12)*'Datos Custos Factura Eléctrica'!$B$3</f>
        <v>10.037500000000001</v>
      </c>
      <c r="Q3" s="1260">
        <f>'Simulac. Factura Indiv. Sen CE'!$B$3*(365/12)*'Datos Custos Factura Eléctrica'!$B$3</f>
        <v>10.037500000000001</v>
      </c>
      <c r="R3" s="1260">
        <f>'Simulac. Factura Indiv. Sen CE'!$B$3*(365/12)*'Datos Custos Factura Eléctrica'!$B$3</f>
        <v>10.037500000000001</v>
      </c>
      <c r="S3" s="1260">
        <f>'Simulac. Factura Indiv. Sen CE'!$B$3*(365/12)*'Datos Custos Factura Eléctrica'!$B$3</f>
        <v>10.037500000000001</v>
      </c>
      <c r="T3" s="1260">
        <f>'Simulac. Factura Indiv. Sen CE'!$B$3*(365/12)*'Datos Custos Factura Eléctrica'!$B$3</f>
        <v>10.037500000000001</v>
      </c>
      <c r="U3" s="1260">
        <f>'Simulac. Factura Indiv. Sen CE'!$B$3*(365/12)*'Datos Custos Factura Eléctrica'!$B$3</f>
        <v>10.037500000000001</v>
      </c>
      <c r="V3" s="1260">
        <f>'Simulac. Factura Indiv. Sen CE'!$B$3*(365/12)*'Datos Custos Factura Eléctrica'!$B$3</f>
        <v>10.037500000000001</v>
      </c>
      <c r="W3" s="1260">
        <f>'Simulac. Factura Indiv. Sen CE'!$B$3*(365/12)*'Datos Custos Factura Eléctrica'!$B$3</f>
        <v>10.037500000000001</v>
      </c>
      <c r="X3" s="1260">
        <f>'Simulac. Factura Indiv. Sen CE'!$B$3*(365/12)*'Datos Custos Factura Eléctrica'!$B$3</f>
        <v>10.037500000000001</v>
      </c>
      <c r="Y3" s="1260">
        <f>'Simulac. Factura Indiv. Sen CE'!$B$3*(365/12)*'Datos Custos Factura Eléctrica'!$B$3</f>
        <v>10.037500000000001</v>
      </c>
      <c r="Z3" s="1260">
        <f>'Simulac. Factura Indiv. Sen CE'!$B$3*(365/12)*'Datos Custos Factura Eléctrica'!$B$3</f>
        <v>10.037500000000001</v>
      </c>
      <c r="AA3" s="145">
        <f>SUM(B3:Z3)</f>
        <v>250.93749999999991</v>
      </c>
    </row>
    <row r="4" spans="1:27" x14ac:dyDescent="0.3">
      <c r="A4" s="411" t="s">
        <v>574</v>
      </c>
      <c r="B4" s="1260">
        <f>'Simulac. Factura Indiv. Sen CE'!$B$3*(365/12)*'Datos Custos Factura Eléctrica'!$B4</f>
        <v>3.01125</v>
      </c>
      <c r="C4" s="1260">
        <f>'Simulac. Factura Indiv. Sen CE'!$B$3*(365/12)*'Datos Custos Factura Eléctrica'!$B4</f>
        <v>3.01125</v>
      </c>
      <c r="D4" s="1260">
        <f>'Simulac. Factura Indiv. Sen CE'!$B$3*(365/12)*'Datos Custos Factura Eléctrica'!$B4</f>
        <v>3.01125</v>
      </c>
      <c r="E4" s="1260">
        <f>'Simulac. Factura Indiv. Sen CE'!$B$3*(365/12)*'Datos Custos Factura Eléctrica'!$B4</f>
        <v>3.01125</v>
      </c>
      <c r="F4" s="1260">
        <f>'Simulac. Factura Indiv. Sen CE'!$B$3*(365/12)*'Datos Custos Factura Eléctrica'!$B4</f>
        <v>3.01125</v>
      </c>
      <c r="G4" s="1260">
        <f>'Simulac. Factura Indiv. Sen CE'!$B$3*(365/12)*'Datos Custos Factura Eléctrica'!$B4</f>
        <v>3.01125</v>
      </c>
      <c r="H4" s="1260">
        <f>'Simulac. Factura Indiv. Sen CE'!$B$3*(365/12)*'Datos Custos Factura Eléctrica'!$B4</f>
        <v>3.01125</v>
      </c>
      <c r="I4" s="1260">
        <f>'Simulac. Factura Indiv. Sen CE'!$B$3*(365/12)*'Datos Custos Factura Eléctrica'!$B4</f>
        <v>3.01125</v>
      </c>
      <c r="J4" s="1260">
        <f>'Simulac. Factura Indiv. Sen CE'!$B$3*(365/12)*'Datos Custos Factura Eléctrica'!$B4</f>
        <v>3.01125</v>
      </c>
      <c r="K4" s="1260">
        <f>'Simulac. Factura Indiv. Sen CE'!$B$3*(365/12)*'Datos Custos Factura Eléctrica'!$B4</f>
        <v>3.01125</v>
      </c>
      <c r="L4" s="1260">
        <f>'Simulac. Factura Indiv. Sen CE'!$B$3*(365/12)*'Datos Custos Factura Eléctrica'!$B4</f>
        <v>3.01125</v>
      </c>
      <c r="M4" s="1260">
        <f>'Simulac. Factura Indiv. Sen CE'!$B$3*(365/12)*'Datos Custos Factura Eléctrica'!$B4</f>
        <v>3.01125</v>
      </c>
      <c r="N4" s="1260">
        <f>'Simulac. Factura Indiv. Sen CE'!$B$3*(365/12)*'Datos Custos Factura Eléctrica'!$B4</f>
        <v>3.01125</v>
      </c>
      <c r="O4" s="1260">
        <f>'Simulac. Factura Indiv. Sen CE'!$B$3*(365/12)*'Datos Custos Factura Eléctrica'!$B4</f>
        <v>3.01125</v>
      </c>
      <c r="P4" s="1260">
        <f>'Simulac. Factura Indiv. Sen CE'!$B$3*(365/12)*'Datos Custos Factura Eléctrica'!$B4</f>
        <v>3.01125</v>
      </c>
      <c r="Q4" s="1260">
        <f>'Simulac. Factura Indiv. Sen CE'!$B$3*(365/12)*'Datos Custos Factura Eléctrica'!$B4</f>
        <v>3.01125</v>
      </c>
      <c r="R4" s="1260">
        <f>'Simulac. Factura Indiv. Sen CE'!$B$3*(365/12)*'Datos Custos Factura Eléctrica'!$B4</f>
        <v>3.01125</v>
      </c>
      <c r="S4" s="1260">
        <f>'Simulac. Factura Indiv. Sen CE'!$B$3*(365/12)*'Datos Custos Factura Eléctrica'!$B4</f>
        <v>3.01125</v>
      </c>
      <c r="T4" s="1260">
        <f>'Simulac. Factura Indiv. Sen CE'!$B$3*(365/12)*'Datos Custos Factura Eléctrica'!$B4</f>
        <v>3.01125</v>
      </c>
      <c r="U4" s="1260">
        <f>'Simulac. Factura Indiv. Sen CE'!$B$3*(365/12)*'Datos Custos Factura Eléctrica'!$B4</f>
        <v>3.01125</v>
      </c>
      <c r="V4" s="1260">
        <f>'Simulac. Factura Indiv. Sen CE'!$B$3*(365/12)*'Datos Custos Factura Eléctrica'!$B4</f>
        <v>3.01125</v>
      </c>
      <c r="W4" s="1260">
        <f>'Simulac. Factura Indiv. Sen CE'!$B$3*(365/12)*'Datos Custos Factura Eléctrica'!$B4</f>
        <v>3.01125</v>
      </c>
      <c r="X4" s="1260">
        <f>'Simulac. Factura Indiv. Sen CE'!$B$3*(365/12)*'Datos Custos Factura Eléctrica'!$B4</f>
        <v>3.01125</v>
      </c>
      <c r="Y4" s="1260">
        <f>'Simulac. Factura Indiv. Sen CE'!$B$3*(365/12)*'Datos Custos Factura Eléctrica'!$B4</f>
        <v>3.01125</v>
      </c>
      <c r="Z4" s="1260">
        <f>'Simulac. Factura Indiv. Sen CE'!$B$3*(365/12)*'Datos Custos Factura Eléctrica'!$B4</f>
        <v>3.01125</v>
      </c>
      <c r="AA4" s="145">
        <f>SUM(B4:Z4)</f>
        <v>75.281249999999986</v>
      </c>
    </row>
    <row r="5" spans="1:27" x14ac:dyDescent="0.3">
      <c r="A5" s="411" t="s">
        <v>1080</v>
      </c>
      <c r="B5" s="1255">
        <f ca="1">(INDEX('Datos Socios'!$B$2:$B$27,'Factura Socios Sen CE'!B2))*'Datos Custos Factura Eléctrica'!$B$5</f>
        <v>43.800000000000004</v>
      </c>
      <c r="C5" s="1255">
        <f ca="1">(INDEX('Datos Socios'!$B$2:$B$27,'Factura Socios Sen CE'!C2))*'Datos Custos Factura Eléctrica'!$B$5</f>
        <v>8.8000000000000007</v>
      </c>
      <c r="D5" s="1255">
        <f ca="1">(INDEX('Datos Socios'!$B$2:$B$27,'Factura Socios Sen CE'!D2))*'Datos Custos Factura Eléctrica'!$B$5</f>
        <v>51.300000000000004</v>
      </c>
      <c r="E5" s="1255">
        <f ca="1">(INDEX('Datos Socios'!$B$2:$B$27,'Factura Socios Sen CE'!E2))*'Datos Custos Factura Eléctrica'!$B$5</f>
        <v>39.200000000000003</v>
      </c>
      <c r="F5" s="1255">
        <f ca="1">(INDEX('Datos Socios'!$B$2:$B$27,'Factura Socios Sen CE'!F2))*'Datos Custos Factura Eléctrica'!$B$5</f>
        <v>36.700000000000003</v>
      </c>
      <c r="G5" s="1255">
        <f ca="1">(INDEX('Datos Socios'!$B$2:$B$27,'Factura Socios Sen CE'!G2))*'Datos Custos Factura Eléctrica'!$B$5</f>
        <v>37.200000000000003</v>
      </c>
      <c r="H5" s="1255">
        <f ca="1">(INDEX('Datos Socios'!$B$2:$B$27,'Factura Socios Sen CE'!H2))*'Datos Custos Factura Eléctrica'!$B$5</f>
        <v>25.1</v>
      </c>
      <c r="I5" s="1255">
        <f ca="1">(INDEX('Datos Socios'!$B$2:$B$27,'Factura Socios Sen CE'!I2))*'Datos Custos Factura Eléctrica'!$B$5</f>
        <v>38.400000000000006</v>
      </c>
      <c r="J5" s="1255">
        <f ca="1">(INDEX('Datos Socios'!$B$2:$B$27,'Factura Socios Sen CE'!J2))*'Datos Custos Factura Eléctrica'!$B$5</f>
        <v>11.200000000000001</v>
      </c>
      <c r="K5" s="1255">
        <f ca="1">(INDEX('Datos Socios'!$B$2:$B$27,'Factura Socios Sen CE'!K2))*'Datos Custos Factura Eléctrica'!$B$5</f>
        <v>34.4</v>
      </c>
      <c r="L5" s="1255">
        <f ca="1">(INDEX('Datos Socios'!$B$2:$B$27,'Factura Socios Sen CE'!L2))*'Datos Custos Factura Eléctrica'!$B$5</f>
        <v>11.9</v>
      </c>
      <c r="M5" s="1255">
        <f ca="1">(INDEX('Datos Socios'!$B$2:$B$27,'Factura Socios Sen CE'!M2))*'Datos Custos Factura Eléctrica'!$B$5</f>
        <v>47.6</v>
      </c>
      <c r="N5" s="1255">
        <f ca="1">(INDEX('Datos Socios'!$B$2:$B$27,'Factura Socios Sen CE'!N2))*'Datos Custos Factura Eléctrica'!$B$5</f>
        <v>40</v>
      </c>
      <c r="O5" s="1255">
        <f ca="1">(INDEX('Datos Socios'!$B$2:$B$27,'Factura Socios Sen CE'!O2))*'Datos Custos Factura Eléctrica'!$B$5</f>
        <v>50.300000000000004</v>
      </c>
      <c r="P5" s="1255">
        <f ca="1">(INDEX('Datos Socios'!$B$2:$B$27,'Factura Socios Sen CE'!P2))*'Datos Custos Factura Eléctrica'!$B$5</f>
        <v>13.4</v>
      </c>
      <c r="Q5" s="1255">
        <f ca="1">(INDEX('Datos Socios'!$B$2:$B$27,'Factura Socios Sen CE'!Q2))*'Datos Custos Factura Eléctrica'!$B$5</f>
        <v>23.400000000000002</v>
      </c>
      <c r="R5" s="1255">
        <f ca="1">(INDEX('Datos Socios'!$B$2:$B$27,'Factura Socios Sen CE'!R2))*'Datos Custos Factura Eléctrica'!$B$5</f>
        <v>14.200000000000001</v>
      </c>
      <c r="S5" s="1255">
        <f ca="1">(INDEX('Datos Socios'!$B$2:$B$27,'Factura Socios Sen CE'!S2))*'Datos Custos Factura Eléctrica'!$B$5</f>
        <v>27.8</v>
      </c>
      <c r="T5" s="1255">
        <f ca="1">(INDEX('Datos Socios'!$B$2:$B$27,'Factura Socios Sen CE'!T2))*'Datos Custos Factura Eléctrica'!$B$5</f>
        <v>51.400000000000006</v>
      </c>
      <c r="U5" s="1255">
        <f ca="1">(INDEX('Datos Socios'!$B$2:$B$27,'Factura Socios Sen CE'!U2))*'Datos Custos Factura Eléctrica'!$B$5</f>
        <v>41.300000000000004</v>
      </c>
      <c r="V5" s="1255">
        <f ca="1">(INDEX('Datos Socios'!$B$2:$B$27,'Factura Socios Sen CE'!V2))*'Datos Custos Factura Eléctrica'!$B$5</f>
        <v>16.7</v>
      </c>
      <c r="W5" s="1255">
        <f ca="1">(INDEX('Datos Socios'!$B$2:$B$27,'Factura Socios Sen CE'!W2))*'Datos Custos Factura Eléctrica'!$B$5</f>
        <v>25.400000000000002</v>
      </c>
      <c r="X5" s="1255">
        <f ca="1">(INDEX('Datos Socios'!$B$2:$B$27,'Factura Socios Sen CE'!X2))*'Datos Custos Factura Eléctrica'!$B$5</f>
        <v>10</v>
      </c>
      <c r="Y5" s="1255">
        <f ca="1">(INDEX('Datos Socios'!$B$2:$B$27,'Factura Socios Sen CE'!Y2))*'Datos Custos Factura Eléctrica'!$B$5</f>
        <v>36.300000000000004</v>
      </c>
      <c r="Z5" s="1255">
        <f ca="1">(INDEX('Datos Socios'!$B$2:$B$27,'Factura Socios Sen CE'!Z2))*'Datos Custos Factura Eléctrica'!$B$5</f>
        <v>38.800000000000004</v>
      </c>
      <c r="AA5" s="145">
        <f ca="1">SUM(B5:Z5)</f>
        <v>774.5999999999998</v>
      </c>
    </row>
    <row r="6" spans="1:27" ht="15" thickBot="1" x14ac:dyDescent="0.35">
      <c r="A6" s="411" t="s">
        <v>577</v>
      </c>
      <c r="B6" s="1260">
        <f>'Datos Custos Factura Eléctrica'!$B$6*(365/12)</f>
        <v>1.1696729166666668</v>
      </c>
      <c r="C6" s="1260">
        <f>'Datos Custos Factura Eléctrica'!$B$6*(365/12)</f>
        <v>1.1696729166666668</v>
      </c>
      <c r="D6" s="1260">
        <f>'Datos Custos Factura Eléctrica'!$B$6*(365/12)</f>
        <v>1.1696729166666668</v>
      </c>
      <c r="E6" s="1260">
        <f>'Datos Custos Factura Eléctrica'!$B$6*(365/12)</f>
        <v>1.1696729166666668</v>
      </c>
      <c r="F6" s="1260">
        <f>'Datos Custos Factura Eléctrica'!$B$6*(365/12)</f>
        <v>1.1696729166666668</v>
      </c>
      <c r="G6" s="1260">
        <f>'Datos Custos Factura Eléctrica'!$B$6*(365/12)</f>
        <v>1.1696729166666668</v>
      </c>
      <c r="H6" s="1260">
        <f>'Datos Custos Factura Eléctrica'!$B$6*(365/12)</f>
        <v>1.1696729166666668</v>
      </c>
      <c r="I6" s="1260">
        <f>'Datos Custos Factura Eléctrica'!$B$6*(365/12)</f>
        <v>1.1696729166666668</v>
      </c>
      <c r="J6" s="1260">
        <f>'Datos Custos Factura Eléctrica'!$B$6*(365/12)</f>
        <v>1.1696729166666668</v>
      </c>
      <c r="K6" s="1260">
        <f>'Datos Custos Factura Eléctrica'!$B$6*(365/12)</f>
        <v>1.1696729166666668</v>
      </c>
      <c r="L6" s="1260">
        <f>'Datos Custos Factura Eléctrica'!$B$6*(365/12)</f>
        <v>1.1696729166666668</v>
      </c>
      <c r="M6" s="1260">
        <f>'Datos Custos Factura Eléctrica'!$B$6*(365/12)</f>
        <v>1.1696729166666668</v>
      </c>
      <c r="N6" s="1260">
        <f>'Datos Custos Factura Eléctrica'!$B$6*(365/12)</f>
        <v>1.1696729166666668</v>
      </c>
      <c r="O6" s="1260">
        <f>'Datos Custos Factura Eléctrica'!$B$6*(365/12)</f>
        <v>1.1696729166666668</v>
      </c>
      <c r="P6" s="1260">
        <f>'Datos Custos Factura Eléctrica'!$B$6*(365/12)</f>
        <v>1.1696729166666668</v>
      </c>
      <c r="Q6" s="1260">
        <f>'Datos Custos Factura Eléctrica'!$B$6*(365/12)</f>
        <v>1.1696729166666668</v>
      </c>
      <c r="R6" s="1260">
        <f>'Datos Custos Factura Eléctrica'!$B$6*(365/12)</f>
        <v>1.1696729166666668</v>
      </c>
      <c r="S6" s="1260">
        <f>'Datos Custos Factura Eléctrica'!$B$6*(365/12)</f>
        <v>1.1696729166666668</v>
      </c>
      <c r="T6" s="1260">
        <f>'Datos Custos Factura Eléctrica'!$B$6*(365/12)</f>
        <v>1.1696729166666668</v>
      </c>
      <c r="U6" s="1260">
        <f>'Datos Custos Factura Eléctrica'!$B$6*(365/12)</f>
        <v>1.1696729166666668</v>
      </c>
      <c r="V6" s="1260">
        <f>'Datos Custos Factura Eléctrica'!$B$6*(365/12)</f>
        <v>1.1696729166666668</v>
      </c>
      <c r="W6" s="1260">
        <f>'Datos Custos Factura Eléctrica'!$B$6*(365/12)</f>
        <v>1.1696729166666668</v>
      </c>
      <c r="X6" s="1260">
        <f>'Datos Custos Factura Eléctrica'!$B$6*(365/12)</f>
        <v>1.1696729166666668</v>
      </c>
      <c r="Y6" s="1260">
        <f>'Datos Custos Factura Eléctrica'!$B$6*(365/12)</f>
        <v>1.1696729166666668</v>
      </c>
      <c r="Z6" s="1260">
        <f>'Datos Custos Factura Eléctrica'!$B$6*(365/12)</f>
        <v>1.1696729166666668</v>
      </c>
      <c r="AA6" s="145">
        <f>SUM(B6:Z6)</f>
        <v>29.241822916666663</v>
      </c>
    </row>
    <row r="7" spans="1:27" ht="15" thickBot="1" x14ac:dyDescent="0.35">
      <c r="A7" s="1259" t="s">
        <v>1085</v>
      </c>
      <c r="B7" s="1258">
        <f t="shared" ref="B7:Z7" ca="1" si="0">SUM(B3:B6)</f>
        <v>58.01842291666668</v>
      </c>
      <c r="C7" s="1258">
        <f t="shared" ca="1" si="0"/>
        <v>23.018422916666669</v>
      </c>
      <c r="D7" s="1258">
        <f t="shared" ca="1" si="0"/>
        <v>65.51842291666668</v>
      </c>
      <c r="E7" s="1258">
        <f t="shared" ca="1" si="0"/>
        <v>53.418422916666671</v>
      </c>
      <c r="F7" s="1258">
        <f t="shared" ca="1" si="0"/>
        <v>50.918422916666671</v>
      </c>
      <c r="G7" s="1258">
        <f t="shared" ca="1" si="0"/>
        <v>51.418422916666671</v>
      </c>
      <c r="H7" s="1258">
        <f t="shared" ca="1" si="0"/>
        <v>39.318422916666677</v>
      </c>
      <c r="I7" s="1258">
        <f t="shared" ca="1" si="0"/>
        <v>52.618422916666674</v>
      </c>
      <c r="J7" s="1258">
        <f t="shared" ca="1" si="0"/>
        <v>25.418422916666668</v>
      </c>
      <c r="K7" s="1258">
        <f t="shared" ca="1" si="0"/>
        <v>48.618422916666674</v>
      </c>
      <c r="L7" s="1258">
        <f t="shared" ca="1" si="0"/>
        <v>26.11842291666667</v>
      </c>
      <c r="M7" s="1258">
        <f t="shared" ca="1" si="0"/>
        <v>61.818422916666677</v>
      </c>
      <c r="N7" s="1258">
        <f t="shared" ca="1" si="0"/>
        <v>54.218422916666668</v>
      </c>
      <c r="O7" s="1258">
        <f t="shared" ca="1" si="0"/>
        <v>64.51842291666668</v>
      </c>
      <c r="P7" s="1258">
        <f t="shared" ca="1" si="0"/>
        <v>27.61842291666667</v>
      </c>
      <c r="Q7" s="1258">
        <f t="shared" ca="1" si="0"/>
        <v>37.618422916666674</v>
      </c>
      <c r="R7" s="1258">
        <f t="shared" ca="1" si="0"/>
        <v>28.418422916666668</v>
      </c>
      <c r="S7" s="1258">
        <f t="shared" ca="1" si="0"/>
        <v>42.018422916666673</v>
      </c>
      <c r="T7" s="1258">
        <f t="shared" ca="1" si="0"/>
        <v>65.618422916666674</v>
      </c>
      <c r="U7" s="1258">
        <f t="shared" ca="1" si="0"/>
        <v>55.51842291666668</v>
      </c>
      <c r="V7" s="1258">
        <f t="shared" ca="1" si="0"/>
        <v>30.918422916666668</v>
      </c>
      <c r="W7" s="1258">
        <f t="shared" ca="1" si="0"/>
        <v>39.618422916666674</v>
      </c>
      <c r="X7" s="1258">
        <f t="shared" ca="1" si="0"/>
        <v>24.218422916666668</v>
      </c>
      <c r="Y7" s="1257">
        <f t="shared" ca="1" si="0"/>
        <v>50.51842291666668</v>
      </c>
      <c r="Z7" s="1256">
        <f t="shared" ca="1" si="0"/>
        <v>53.01842291666668</v>
      </c>
      <c r="AA7" s="1256">
        <f ca="1">SUM(B7:Z7)</f>
        <v>1130.0605729166668</v>
      </c>
    </row>
    <row r="8" spans="1:27" x14ac:dyDescent="0.3">
      <c r="A8" s="411"/>
      <c r="B8" s="389"/>
      <c r="C8" s="38"/>
    </row>
    <row r="9" spans="1:27" x14ac:dyDescent="0.3">
      <c r="A9" s="411" t="s">
        <v>582</v>
      </c>
      <c r="B9" s="1255">
        <f ca="1">B7*'Simulac. Factura Indiv. Sen CE'!$C$8</f>
        <v>0.29009211458333339</v>
      </c>
      <c r="C9" s="1255">
        <f ca="1">C7*'Simulac. Factura Indiv. Sen CE'!$C$8</f>
        <v>0.11509211458333335</v>
      </c>
      <c r="D9" s="1255">
        <f ca="1">D7*'Simulac. Factura Indiv. Sen CE'!$C$8</f>
        <v>0.32759211458333343</v>
      </c>
      <c r="E9" s="1255">
        <f ca="1">E7*'Simulac. Factura Indiv. Sen CE'!$C$8</f>
        <v>0.26709211458333337</v>
      </c>
      <c r="F9" s="1255">
        <f ca="1">F7*'Simulac. Factura Indiv. Sen CE'!$C$8</f>
        <v>0.25459211458333336</v>
      </c>
      <c r="G9" s="1255">
        <f ca="1">G7*'Simulac. Factura Indiv. Sen CE'!$C$8</f>
        <v>0.25709211458333336</v>
      </c>
      <c r="H9" s="1255">
        <f ca="1">H7*'Simulac. Factura Indiv. Sen CE'!$C$8</f>
        <v>0.19659211458333339</v>
      </c>
      <c r="I9" s="1255">
        <f ca="1">I7*'Simulac. Factura Indiv. Sen CE'!$C$8</f>
        <v>0.26309211458333337</v>
      </c>
      <c r="J9" s="1255">
        <f ca="1">J7*'Simulac. Factura Indiv. Sen CE'!$C$8</f>
        <v>0.12709211458333333</v>
      </c>
      <c r="K9" s="1255">
        <f ca="1">K7*'Simulac. Factura Indiv. Sen CE'!$C$8</f>
        <v>0.24309211458333338</v>
      </c>
      <c r="L9" s="1255">
        <f ca="1">L7*'Simulac. Factura Indiv. Sen CE'!$C$8</f>
        <v>0.13059211458333336</v>
      </c>
      <c r="M9" s="1255">
        <f ca="1">M7*'Simulac. Factura Indiv. Sen CE'!$C$8</f>
        <v>0.30909211458333341</v>
      </c>
      <c r="N9" s="1255">
        <f ca="1">N7*'Simulac. Factura Indiv. Sen CE'!$C$8</f>
        <v>0.27109211458333332</v>
      </c>
      <c r="O9" s="1255">
        <f ca="1">O7*'Simulac. Factura Indiv. Sen CE'!$C$8</f>
        <v>0.32259211458333342</v>
      </c>
      <c r="P9" s="1255">
        <f ca="1">P7*'Simulac. Factura Indiv. Sen CE'!$C$8</f>
        <v>0.13809211458333334</v>
      </c>
      <c r="Q9" s="1255">
        <f ca="1">Q7*'Simulac. Factura Indiv. Sen CE'!$C$8</f>
        <v>0.18809211458333339</v>
      </c>
      <c r="R9" s="1255">
        <f ca="1">R7*'Simulac. Factura Indiv. Sen CE'!$C$8</f>
        <v>0.14209211458333335</v>
      </c>
      <c r="S9" s="1255">
        <f ca="1">S7*'Simulac. Factura Indiv. Sen CE'!$C$8</f>
        <v>0.21009211458333338</v>
      </c>
      <c r="T9" s="1255">
        <f ca="1">T7*'Simulac. Factura Indiv. Sen CE'!$C$8</f>
        <v>0.32809211458333337</v>
      </c>
      <c r="U9" s="1255">
        <f ca="1">U7*'Simulac. Factura Indiv. Sen CE'!$C$8</f>
        <v>0.27759211458333338</v>
      </c>
      <c r="V9" s="1255">
        <f ca="1">V7*'Simulac. Factura Indiv. Sen CE'!$C$8</f>
        <v>0.15459211458333333</v>
      </c>
      <c r="W9" s="1255">
        <f ca="1">W7*'Simulac. Factura Indiv. Sen CE'!$C$8</f>
        <v>0.19809211458333337</v>
      </c>
      <c r="X9" s="1255">
        <f ca="1">X7*'Simulac. Factura Indiv. Sen CE'!$C$8</f>
        <v>0.12109211458333334</v>
      </c>
      <c r="Y9" s="1255">
        <f ca="1">Y7*'Simulac. Factura Indiv. Sen CE'!$C$8</f>
        <v>0.25259211458333342</v>
      </c>
      <c r="Z9" s="1255">
        <f ca="1">Z7*'Simulac. Factura Indiv. Sen CE'!$C$8</f>
        <v>0.26509211458333343</v>
      </c>
      <c r="AA9" s="145">
        <f ca="1">SUM(B9:Z9)</f>
        <v>5.6503028645833338</v>
      </c>
    </row>
    <row r="10" spans="1:27" x14ac:dyDescent="0.3">
      <c r="A10" s="411"/>
      <c r="B10" s="389"/>
      <c r="C10" s="38"/>
    </row>
    <row r="11" spans="1:27" x14ac:dyDescent="0.3">
      <c r="A11" s="411" t="s">
        <v>585</v>
      </c>
      <c r="B11" s="1260">
        <f>'Datos Custos Factura Eléctrica'!$B$11*(365/12)</f>
        <v>0.81474083333333336</v>
      </c>
      <c r="C11" s="1260">
        <f>'Datos Custos Factura Eléctrica'!$B$11*(365/12)</f>
        <v>0.81474083333333336</v>
      </c>
      <c r="D11" s="1260">
        <f>'Datos Custos Factura Eléctrica'!$B$11*(365/12)</f>
        <v>0.81474083333333336</v>
      </c>
      <c r="E11" s="1260">
        <f>'Datos Custos Factura Eléctrica'!$B$11*(365/12)</f>
        <v>0.81474083333333336</v>
      </c>
      <c r="F11" s="1260">
        <f>'Datos Custos Factura Eléctrica'!$B$11*(365/12)</f>
        <v>0.81474083333333336</v>
      </c>
      <c r="G11" s="1260">
        <f>'Datos Custos Factura Eléctrica'!$B$11*(365/12)</f>
        <v>0.81474083333333336</v>
      </c>
      <c r="H11" s="1260">
        <f>'Datos Custos Factura Eléctrica'!$B$11*(365/12)</f>
        <v>0.81474083333333336</v>
      </c>
      <c r="I11" s="1260">
        <f>'Datos Custos Factura Eléctrica'!$B$11*(365/12)</f>
        <v>0.81474083333333336</v>
      </c>
      <c r="J11" s="1260">
        <f>'Datos Custos Factura Eléctrica'!$B$11*(365/12)</f>
        <v>0.81474083333333336</v>
      </c>
      <c r="K11" s="1260">
        <f>'Datos Custos Factura Eléctrica'!$B$11*(365/12)</f>
        <v>0.81474083333333336</v>
      </c>
      <c r="L11" s="1260">
        <f>'Datos Custos Factura Eléctrica'!$B$11*(365/12)</f>
        <v>0.81474083333333336</v>
      </c>
      <c r="M11" s="1260">
        <f>'Datos Custos Factura Eléctrica'!$B$11*(365/12)</f>
        <v>0.81474083333333336</v>
      </c>
      <c r="N11" s="1260">
        <f>'Datos Custos Factura Eléctrica'!$B$11*(365/12)</f>
        <v>0.81474083333333336</v>
      </c>
      <c r="O11" s="1260">
        <f>'Datos Custos Factura Eléctrica'!$B$11*(365/12)</f>
        <v>0.81474083333333336</v>
      </c>
      <c r="P11" s="1260">
        <f>'Datos Custos Factura Eléctrica'!$B$11*(365/12)</f>
        <v>0.81474083333333336</v>
      </c>
      <c r="Q11" s="1260">
        <f>'Datos Custos Factura Eléctrica'!$B$11*(365/12)</f>
        <v>0.81474083333333336</v>
      </c>
      <c r="R11" s="1260">
        <f>'Datos Custos Factura Eléctrica'!$B$11*(365/12)</f>
        <v>0.81474083333333336</v>
      </c>
      <c r="S11" s="1260">
        <f>'Datos Custos Factura Eléctrica'!$B$11*(365/12)</f>
        <v>0.81474083333333336</v>
      </c>
      <c r="T11" s="1260">
        <f>'Datos Custos Factura Eléctrica'!$B$11*(365/12)</f>
        <v>0.81474083333333336</v>
      </c>
      <c r="U11" s="1260">
        <f>'Datos Custos Factura Eléctrica'!$B$11*(365/12)</f>
        <v>0.81474083333333336</v>
      </c>
      <c r="V11" s="1260">
        <f>'Datos Custos Factura Eléctrica'!$B$11*(365/12)</f>
        <v>0.81474083333333336</v>
      </c>
      <c r="W11" s="1260">
        <f>'Datos Custos Factura Eléctrica'!$B$11*(365/12)</f>
        <v>0.81474083333333336</v>
      </c>
      <c r="X11" s="1260">
        <f>'Datos Custos Factura Eléctrica'!$B$11*(365/12)</f>
        <v>0.81474083333333336</v>
      </c>
      <c r="Y11" s="1260">
        <f>'Datos Custos Factura Eléctrica'!$B$11*(365/12)</f>
        <v>0.81474083333333336</v>
      </c>
      <c r="Z11" s="1260">
        <f>'Datos Custos Factura Eléctrica'!$B$11*(365/12)</f>
        <v>0.81474083333333336</v>
      </c>
      <c r="AA11" s="145">
        <f>SUM(B11:Z11)</f>
        <v>20.368520833333324</v>
      </c>
    </row>
    <row r="12" spans="1:27" ht="15" thickBot="1" x14ac:dyDescent="0.35">
      <c r="A12" s="411"/>
      <c r="B12" s="389"/>
      <c r="C12" s="38"/>
    </row>
    <row r="13" spans="1:27" ht="15" thickBot="1" x14ac:dyDescent="0.35">
      <c r="A13" s="1259" t="s">
        <v>1084</v>
      </c>
      <c r="B13" s="1258">
        <f t="shared" ref="B13:Z13" ca="1" si="1">B7+B9+B11</f>
        <v>59.123255864583342</v>
      </c>
      <c r="C13" s="1258">
        <f t="shared" ca="1" si="1"/>
        <v>23.948255864583334</v>
      </c>
      <c r="D13" s="1258">
        <f t="shared" ca="1" si="1"/>
        <v>66.660755864583351</v>
      </c>
      <c r="E13" s="1258">
        <f t="shared" ca="1" si="1"/>
        <v>54.500255864583337</v>
      </c>
      <c r="F13" s="1258">
        <f t="shared" ca="1" si="1"/>
        <v>51.987755864583335</v>
      </c>
      <c r="G13" s="1258">
        <f t="shared" ca="1" si="1"/>
        <v>52.490255864583339</v>
      </c>
      <c r="H13" s="1258">
        <f t="shared" ca="1" si="1"/>
        <v>40.32975586458334</v>
      </c>
      <c r="I13" s="1258">
        <f t="shared" ca="1" si="1"/>
        <v>53.696255864583335</v>
      </c>
      <c r="J13" s="1258">
        <f t="shared" ca="1" si="1"/>
        <v>26.360255864583333</v>
      </c>
      <c r="K13" s="1258">
        <f t="shared" ca="1" si="1"/>
        <v>49.676255864583339</v>
      </c>
      <c r="L13" s="1258">
        <f t="shared" ca="1" si="1"/>
        <v>27.063755864583335</v>
      </c>
      <c r="M13" s="1258">
        <f t="shared" ca="1" si="1"/>
        <v>62.942255864583345</v>
      </c>
      <c r="N13" s="1258">
        <f t="shared" ca="1" si="1"/>
        <v>55.304255864583332</v>
      </c>
      <c r="O13" s="1258">
        <f t="shared" ca="1" si="1"/>
        <v>65.655755864583341</v>
      </c>
      <c r="P13" s="1258">
        <f t="shared" ca="1" si="1"/>
        <v>28.571255864583335</v>
      </c>
      <c r="Q13" s="1258">
        <f t="shared" ca="1" si="1"/>
        <v>38.62125586458334</v>
      </c>
      <c r="R13" s="1258">
        <f t="shared" ca="1" si="1"/>
        <v>29.375255864583334</v>
      </c>
      <c r="S13" s="1258">
        <f t="shared" ca="1" si="1"/>
        <v>43.043255864583337</v>
      </c>
      <c r="T13" s="1258">
        <f t="shared" ca="1" si="1"/>
        <v>66.761255864583333</v>
      </c>
      <c r="U13" s="1258">
        <f t="shared" ca="1" si="1"/>
        <v>56.610755864583346</v>
      </c>
      <c r="V13" s="1258">
        <f t="shared" ca="1" si="1"/>
        <v>31.887755864583333</v>
      </c>
      <c r="W13" s="1258">
        <f t="shared" ca="1" si="1"/>
        <v>40.631255864583338</v>
      </c>
      <c r="X13" s="1258">
        <f t="shared" ca="1" si="1"/>
        <v>25.154255864583334</v>
      </c>
      <c r="Y13" s="1257">
        <f t="shared" ca="1" si="1"/>
        <v>51.585755864583348</v>
      </c>
      <c r="Z13" s="1256">
        <f t="shared" ca="1" si="1"/>
        <v>54.098255864583344</v>
      </c>
      <c r="AA13" s="1256">
        <f ca="1">SUM(B13:Z13)</f>
        <v>1156.0793966145834</v>
      </c>
    </row>
    <row r="14" spans="1:27" x14ac:dyDescent="0.3">
      <c r="A14" s="411"/>
      <c r="B14" s="389"/>
      <c r="C14" s="38"/>
    </row>
    <row r="15" spans="1:27" x14ac:dyDescent="0.3">
      <c r="A15" s="411" t="s">
        <v>1083</v>
      </c>
      <c r="B15" s="1255">
        <f ca="1">'Simulac. Factura Indiv. Sen CE'!$C$14*B13</f>
        <v>12.415883731562502</v>
      </c>
      <c r="C15" s="1255">
        <f ca="1">'Simulac. Factura Indiv. Sen CE'!$C$14*C13</f>
        <v>5.0291337315625002</v>
      </c>
      <c r="D15" s="1255">
        <f ca="1">'Simulac. Factura Indiv. Sen CE'!$C$14*D13</f>
        <v>13.998758731562503</v>
      </c>
      <c r="E15" s="1255">
        <f ca="1">'Simulac. Factura Indiv. Sen CE'!$C$14*E13</f>
        <v>11.445053731562501</v>
      </c>
      <c r="F15" s="1255">
        <f ca="1">'Simulac. Factura Indiv. Sen CE'!$C$14*F13</f>
        <v>10.9174287315625</v>
      </c>
      <c r="G15" s="1255">
        <f ca="1">'Simulac. Factura Indiv. Sen CE'!$C$14*G13</f>
        <v>11.022953731562501</v>
      </c>
      <c r="H15" s="1255">
        <f ca="1">'Simulac. Factura Indiv. Sen CE'!$C$14*H13</f>
        <v>8.4692487315625016</v>
      </c>
      <c r="I15" s="1255">
        <f ca="1">'Simulac. Factura Indiv. Sen CE'!$C$14*I13</f>
        <v>11.2762137315625</v>
      </c>
      <c r="J15" s="1255">
        <f ca="1">'Simulac. Factura Indiv. Sen CE'!$C$14*J13</f>
        <v>5.5356537315624994</v>
      </c>
      <c r="K15" s="1255">
        <f ca="1">'Simulac. Factura Indiv. Sen CE'!$C$14*K13</f>
        <v>10.432013731562501</v>
      </c>
      <c r="L15" s="1255">
        <f ca="1">'Simulac. Factura Indiv. Sen CE'!$C$14*L13</f>
        <v>5.6833887315625002</v>
      </c>
      <c r="M15" s="1255">
        <f ca="1">'Simulac. Factura Indiv. Sen CE'!$C$14*M13</f>
        <v>13.217873731562502</v>
      </c>
      <c r="N15" s="1255">
        <f ca="1">'Simulac. Factura Indiv. Sen CE'!$C$14*N13</f>
        <v>11.613893731562499</v>
      </c>
      <c r="O15" s="1255">
        <f ca="1">'Simulac. Factura Indiv. Sen CE'!$C$14*O13</f>
        <v>13.787708731562502</v>
      </c>
      <c r="P15" s="1255">
        <f ca="1">'Simulac. Factura Indiv. Sen CE'!$C$14*P13</f>
        <v>5.9999637315625005</v>
      </c>
      <c r="Q15" s="1255">
        <f ca="1">'Simulac. Factura Indiv. Sen CE'!$C$14*Q13</f>
        <v>8.1104637315625006</v>
      </c>
      <c r="R15" s="1255">
        <f ca="1">'Simulac. Factura Indiv. Sen CE'!$C$14*R13</f>
        <v>6.1688037315624999</v>
      </c>
      <c r="S15" s="1255">
        <f ca="1">'Simulac. Factura Indiv. Sen CE'!$C$14*S13</f>
        <v>9.039083731562501</v>
      </c>
      <c r="T15" s="1255">
        <f ca="1">'Simulac. Factura Indiv. Sen CE'!$C$14*T13</f>
        <v>14.0198637315625</v>
      </c>
      <c r="U15" s="1255">
        <f ca="1">'Simulac. Factura Indiv. Sen CE'!$C$14*U13</f>
        <v>11.888258731562502</v>
      </c>
      <c r="V15" s="1255">
        <f ca="1">'Simulac. Factura Indiv. Sen CE'!$C$14*V13</f>
        <v>6.6964287315624995</v>
      </c>
      <c r="W15" s="1255">
        <f ca="1">'Simulac. Factura Indiv. Sen CE'!$C$14*W13</f>
        <v>8.5325637315625009</v>
      </c>
      <c r="X15" s="1255">
        <f ca="1">'Simulac. Factura Indiv. Sen CE'!$C$14*X13</f>
        <v>5.2823937315625002</v>
      </c>
      <c r="Y15" s="1255">
        <f ca="1">'Simulac. Factura Indiv. Sen CE'!$C$14*Y13</f>
        <v>10.833008731562503</v>
      </c>
      <c r="Z15" s="1255">
        <f ca="1">'Simulac. Factura Indiv. Sen CE'!$C$14*Z13</f>
        <v>11.360633731562501</v>
      </c>
      <c r="AA15" s="145">
        <f ca="1">SUM(B15:Z15)</f>
        <v>242.77667328906256</v>
      </c>
    </row>
    <row r="16" spans="1:27" ht="15" thickBot="1" x14ac:dyDescent="0.35">
      <c r="A16" s="411"/>
      <c r="B16" s="389"/>
      <c r="C16" s="38"/>
    </row>
    <row r="17" spans="1:27" ht="15" thickBot="1" x14ac:dyDescent="0.35">
      <c r="A17" s="1254" t="s">
        <v>1082</v>
      </c>
      <c r="B17" s="1253">
        <f t="shared" ref="B17:Z17" ca="1" si="2">B13+B15</f>
        <v>71.539139596145844</v>
      </c>
      <c r="C17" s="1253">
        <f t="shared" ca="1" si="2"/>
        <v>28.977389596145834</v>
      </c>
      <c r="D17" s="1253">
        <f t="shared" ca="1" si="2"/>
        <v>80.659514596145854</v>
      </c>
      <c r="E17" s="1253">
        <f t="shared" ca="1" si="2"/>
        <v>65.945309596145833</v>
      </c>
      <c r="F17" s="1253">
        <f t="shared" ca="1" si="2"/>
        <v>62.905184596145837</v>
      </c>
      <c r="G17" s="1253">
        <f t="shared" ca="1" si="2"/>
        <v>63.513209596145842</v>
      </c>
      <c r="H17" s="1253">
        <f t="shared" ca="1" si="2"/>
        <v>48.799004596145842</v>
      </c>
      <c r="I17" s="1253">
        <f t="shared" ca="1" si="2"/>
        <v>64.972469596145828</v>
      </c>
      <c r="J17" s="1253">
        <f t="shared" ca="1" si="2"/>
        <v>31.895909596145835</v>
      </c>
      <c r="K17" s="1253">
        <f t="shared" ca="1" si="2"/>
        <v>60.108269596145838</v>
      </c>
      <c r="L17" s="1253">
        <f t="shared" ca="1" si="2"/>
        <v>32.747144596145837</v>
      </c>
      <c r="M17" s="1253">
        <f t="shared" ca="1" si="2"/>
        <v>76.16012959614585</v>
      </c>
      <c r="N17" s="1253">
        <f t="shared" ca="1" si="2"/>
        <v>66.918149596145838</v>
      </c>
      <c r="O17" s="1253">
        <f t="shared" ca="1" si="2"/>
        <v>79.443464596145844</v>
      </c>
      <c r="P17" s="1253">
        <f t="shared" ca="1" si="2"/>
        <v>34.571219596145838</v>
      </c>
      <c r="Q17" s="1253">
        <f t="shared" ca="1" si="2"/>
        <v>46.731719596145837</v>
      </c>
      <c r="R17" s="1253">
        <f t="shared" ca="1" si="2"/>
        <v>35.544059596145836</v>
      </c>
      <c r="S17" s="1253">
        <f t="shared" ca="1" si="2"/>
        <v>52.082339596145836</v>
      </c>
      <c r="T17" s="1253">
        <f t="shared" ca="1" si="2"/>
        <v>80.781119596145828</v>
      </c>
      <c r="U17" s="1253">
        <f t="shared" ca="1" si="2"/>
        <v>68.499014596145855</v>
      </c>
      <c r="V17" s="1253">
        <f t="shared" ca="1" si="2"/>
        <v>38.584184596145832</v>
      </c>
      <c r="W17" s="1253">
        <f t="shared" ca="1" si="2"/>
        <v>49.163819596145842</v>
      </c>
      <c r="X17" s="1253">
        <f t="shared" ca="1" si="2"/>
        <v>30.436649596145834</v>
      </c>
      <c r="Y17" s="1253">
        <f t="shared" ca="1" si="2"/>
        <v>62.418764596145849</v>
      </c>
      <c r="Z17" s="1252">
        <f t="shared" ca="1" si="2"/>
        <v>65.458889596145838</v>
      </c>
      <c r="AA17" s="1251">
        <f ca="1">SUM(B17:Z17)</f>
        <v>1398.8560699036461</v>
      </c>
    </row>
    <row r="18" spans="1:27" x14ac:dyDescent="0.3">
      <c r="B18" s="389"/>
      <c r="C18" s="38"/>
    </row>
    <row r="19" spans="1:27" x14ac:dyDescent="0.3">
      <c r="B19" s="389"/>
      <c r="C19" s="38"/>
    </row>
    <row r="20" spans="1:27" x14ac:dyDescent="0.3">
      <c r="B20" s="389"/>
      <c r="C20" s="38"/>
    </row>
    <row r="21" spans="1:27" x14ac:dyDescent="0.3">
      <c r="B21" s="389"/>
      <c r="C21" s="38"/>
    </row>
    <row r="22" spans="1:27" x14ac:dyDescent="0.3">
      <c r="B22" s="389"/>
      <c r="C22" s="38"/>
    </row>
    <row r="23" spans="1:27" x14ac:dyDescent="0.3">
      <c r="B23" s="389"/>
      <c r="C23" s="38"/>
    </row>
    <row r="24" spans="1:27" x14ac:dyDescent="0.3">
      <c r="B24" s="389"/>
      <c r="C24" s="38"/>
    </row>
    <row r="25" spans="1:27" x14ac:dyDescent="0.3">
      <c r="B25" s="389"/>
      <c r="C25" s="38"/>
    </row>
    <row r="26" spans="1:27" x14ac:dyDescent="0.3">
      <c r="B26" s="389"/>
      <c r="C26" s="1250"/>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5274-FCEB-467F-BDCD-92F1D908126A}">
  <dimension ref="A1:AB62"/>
  <sheetViews>
    <sheetView topLeftCell="A2" workbookViewId="0">
      <selection activeCell="B55" sqref="B55"/>
    </sheetView>
  </sheetViews>
  <sheetFormatPr baseColWidth="10" defaultColWidth="11.5546875" defaultRowHeight="14.4" x14ac:dyDescent="0.3"/>
  <cols>
    <col min="1" max="1" width="53.44140625" bestFit="1" customWidth="1"/>
    <col min="2" max="2" width="12.5546875" bestFit="1" customWidth="1"/>
    <col min="3" max="3" width="13.88671875" customWidth="1"/>
    <col min="4" max="4" width="14.44140625" customWidth="1"/>
    <col min="27" max="27" width="12.5546875" bestFit="1" customWidth="1"/>
  </cols>
  <sheetData>
    <row r="1" spans="1:27" x14ac:dyDescent="0.3">
      <c r="B1" s="169" t="s">
        <v>1136</v>
      </c>
      <c r="C1" s="1261"/>
    </row>
    <row r="2" spans="1:27" ht="43.2" x14ac:dyDescent="0.3">
      <c r="B2" s="389">
        <v>1</v>
      </c>
      <c r="C2" s="389">
        <v>2</v>
      </c>
      <c r="D2" s="389">
        <v>3</v>
      </c>
      <c r="E2" s="389">
        <v>4</v>
      </c>
      <c r="F2" s="389">
        <v>5</v>
      </c>
      <c r="G2" s="389">
        <v>6</v>
      </c>
      <c r="H2" s="389">
        <v>7</v>
      </c>
      <c r="I2" s="389">
        <v>8</v>
      </c>
      <c r="J2" s="389">
        <v>9</v>
      </c>
      <c r="K2" s="389">
        <v>10</v>
      </c>
      <c r="L2" s="389">
        <v>11</v>
      </c>
      <c r="M2" s="389">
        <v>12</v>
      </c>
      <c r="N2" s="389">
        <v>13</v>
      </c>
      <c r="O2" s="389">
        <v>14</v>
      </c>
      <c r="P2" s="389">
        <v>15</v>
      </c>
      <c r="Q2" s="389">
        <v>16</v>
      </c>
      <c r="R2" s="389">
        <v>17</v>
      </c>
      <c r="S2" s="389">
        <v>18</v>
      </c>
      <c r="T2" s="389">
        <v>19</v>
      </c>
      <c r="U2" s="389">
        <v>20</v>
      </c>
      <c r="V2" s="389">
        <v>21</v>
      </c>
      <c r="W2" s="389">
        <v>22</v>
      </c>
      <c r="X2" s="389">
        <v>23</v>
      </c>
      <c r="Y2" s="389">
        <v>24</v>
      </c>
      <c r="Z2" s="389">
        <v>25</v>
      </c>
      <c r="AA2" s="389" t="s">
        <v>1128</v>
      </c>
    </row>
    <row r="3" spans="1:27" x14ac:dyDescent="0.3">
      <c r="A3" s="411" t="s">
        <v>571</v>
      </c>
      <c r="B3" s="1260">
        <f>'Simulac. Factura Indiv. Sen CE'!$B$3*(365/12)*'Datos Custos Factura Eléctrica'!$B$3</f>
        <v>10.037500000000001</v>
      </c>
      <c r="C3" s="1260">
        <f>'Simulac. Factura Indiv. Sen CE'!$B$3*(365/12)*'Datos Custos Factura Eléctrica'!$B$3</f>
        <v>10.037500000000001</v>
      </c>
      <c r="D3" s="1260">
        <f>'Simulac. Factura Indiv. Sen CE'!$B$3*(365/12)*'Datos Custos Factura Eléctrica'!$B$3</f>
        <v>10.037500000000001</v>
      </c>
      <c r="E3" s="1260">
        <f>'Simulac. Factura Indiv. Sen CE'!$B$3*(365/12)*'Datos Custos Factura Eléctrica'!$B$3</f>
        <v>10.037500000000001</v>
      </c>
      <c r="F3" s="1260">
        <f>'Simulac. Factura Indiv. Sen CE'!$B$3*(365/12)*'Datos Custos Factura Eléctrica'!$B$3</f>
        <v>10.037500000000001</v>
      </c>
      <c r="G3" s="1260">
        <f>'Simulac. Factura Indiv. Sen CE'!$B$3*(365/12)*'Datos Custos Factura Eléctrica'!$B$3</f>
        <v>10.037500000000001</v>
      </c>
      <c r="H3" s="1260">
        <f>'Simulac. Factura Indiv. Sen CE'!$B$3*(365/12)*'Datos Custos Factura Eléctrica'!$B$3</f>
        <v>10.037500000000001</v>
      </c>
      <c r="I3" s="1260">
        <f>'Simulac. Factura Indiv. Sen CE'!$B$3*(365/12)*'Datos Custos Factura Eléctrica'!$B$3</f>
        <v>10.037500000000001</v>
      </c>
      <c r="J3" s="1260">
        <f>'Simulac. Factura Indiv. Sen CE'!$B$3*(365/12)*'Datos Custos Factura Eléctrica'!$B$3</f>
        <v>10.037500000000001</v>
      </c>
      <c r="K3" s="1260">
        <f>'Simulac. Factura Indiv. Sen CE'!$B$3*(365/12)*'Datos Custos Factura Eléctrica'!$B$3</f>
        <v>10.037500000000001</v>
      </c>
      <c r="L3" s="1260">
        <f>'Simulac. Factura Indiv. Sen CE'!$B$3*(365/12)*'Datos Custos Factura Eléctrica'!$B$3</f>
        <v>10.037500000000001</v>
      </c>
      <c r="M3" s="1260">
        <f>'Simulac. Factura Indiv. Sen CE'!$B$3*(365/12)*'Datos Custos Factura Eléctrica'!$B$3</f>
        <v>10.037500000000001</v>
      </c>
      <c r="N3" s="1260">
        <f>'Simulac. Factura Indiv. Sen CE'!$B$3*(365/12)*'Datos Custos Factura Eléctrica'!$B$3</f>
        <v>10.037500000000001</v>
      </c>
      <c r="O3" s="1260">
        <f>'Simulac. Factura Indiv. Sen CE'!$B$3*(365/12)*'Datos Custos Factura Eléctrica'!$B$3</f>
        <v>10.037500000000001</v>
      </c>
      <c r="P3" s="1260">
        <f>'Simulac. Factura Indiv. Sen CE'!$B$3*(365/12)*'Datos Custos Factura Eléctrica'!$B$3</f>
        <v>10.037500000000001</v>
      </c>
      <c r="Q3" s="1260">
        <f>'Simulac. Factura Indiv. Sen CE'!$B$3*(365/12)*'Datos Custos Factura Eléctrica'!$B$3</f>
        <v>10.037500000000001</v>
      </c>
      <c r="R3" s="1260">
        <f>'Simulac. Factura Indiv. Sen CE'!$B$3*(365/12)*'Datos Custos Factura Eléctrica'!$B$3</f>
        <v>10.037500000000001</v>
      </c>
      <c r="S3" s="1260">
        <f>'Simulac. Factura Indiv. Sen CE'!$B$3*(365/12)*'Datos Custos Factura Eléctrica'!$B$3</f>
        <v>10.037500000000001</v>
      </c>
      <c r="T3" s="1260">
        <f>'Simulac. Factura Indiv. Sen CE'!$B$3*(365/12)*'Datos Custos Factura Eléctrica'!$B$3</f>
        <v>10.037500000000001</v>
      </c>
      <c r="U3" s="1260">
        <f>'Simulac. Factura Indiv. Sen CE'!$B$3*(365/12)*'Datos Custos Factura Eléctrica'!$B$3</f>
        <v>10.037500000000001</v>
      </c>
      <c r="V3" s="1260">
        <f>'Simulac. Factura Indiv. Sen CE'!$B$3*(365/12)*'Datos Custos Factura Eléctrica'!$B$3</f>
        <v>10.037500000000001</v>
      </c>
      <c r="W3" s="1260">
        <f>'Simulac. Factura Indiv. Sen CE'!$B$3*(365/12)*'Datos Custos Factura Eléctrica'!$B$3</f>
        <v>10.037500000000001</v>
      </c>
      <c r="X3" s="1260">
        <f>'Simulac. Factura Indiv. Sen CE'!$B$3*(365/12)*'Datos Custos Factura Eléctrica'!$B$3</f>
        <v>10.037500000000001</v>
      </c>
      <c r="Y3" s="1260">
        <f>'Simulac. Factura Indiv. Sen CE'!$B$3*(365/12)*'Datos Custos Factura Eléctrica'!$B$3</f>
        <v>10.037500000000001</v>
      </c>
      <c r="Z3" s="1260">
        <f>'Simulac. Factura Indiv. Sen CE'!$B$3*(365/12)*'Datos Custos Factura Eléctrica'!$B$3</f>
        <v>10.037500000000001</v>
      </c>
      <c r="AA3" s="145">
        <f>SUM(B3:Z3)</f>
        <v>250.93749999999991</v>
      </c>
    </row>
    <row r="4" spans="1:27" x14ac:dyDescent="0.3">
      <c r="A4" s="411" t="s">
        <v>574</v>
      </c>
      <c r="B4" s="1260">
        <f>'Simulac. Factura Indiv. Sen CE'!$B$3*(365/12)*'Datos Custos Factura Eléctrica'!$B4</f>
        <v>3.01125</v>
      </c>
      <c r="C4" s="1260">
        <f>'Simulac. Factura Indiv. Sen CE'!$B$3*(365/12)*'Datos Custos Factura Eléctrica'!$B4</f>
        <v>3.01125</v>
      </c>
      <c r="D4" s="1260">
        <f>'Simulac. Factura Indiv. Sen CE'!$B$3*(365/12)*'Datos Custos Factura Eléctrica'!$B4</f>
        <v>3.01125</v>
      </c>
      <c r="E4" s="1260">
        <f>'Simulac. Factura Indiv. Sen CE'!$B$3*(365/12)*'Datos Custos Factura Eléctrica'!$B4</f>
        <v>3.01125</v>
      </c>
      <c r="F4" s="1260">
        <f>'Simulac. Factura Indiv. Sen CE'!$B$3*(365/12)*'Datos Custos Factura Eléctrica'!$B4</f>
        <v>3.01125</v>
      </c>
      <c r="G4" s="1260">
        <f>'Simulac. Factura Indiv. Sen CE'!$B$3*(365/12)*'Datos Custos Factura Eléctrica'!$B4</f>
        <v>3.01125</v>
      </c>
      <c r="H4" s="1260">
        <f>'Simulac. Factura Indiv. Sen CE'!$B$3*(365/12)*'Datos Custos Factura Eléctrica'!$B4</f>
        <v>3.01125</v>
      </c>
      <c r="I4" s="1260">
        <f>'Simulac. Factura Indiv. Sen CE'!$B$3*(365/12)*'Datos Custos Factura Eléctrica'!$B4</f>
        <v>3.01125</v>
      </c>
      <c r="J4" s="1260">
        <f>'Simulac. Factura Indiv. Sen CE'!$B$3*(365/12)*'Datos Custos Factura Eléctrica'!$B4</f>
        <v>3.01125</v>
      </c>
      <c r="K4" s="1260">
        <f>'Simulac. Factura Indiv. Sen CE'!$B$3*(365/12)*'Datos Custos Factura Eléctrica'!$B4</f>
        <v>3.01125</v>
      </c>
      <c r="L4" s="1260">
        <f>'Simulac. Factura Indiv. Sen CE'!$B$3*(365/12)*'Datos Custos Factura Eléctrica'!$B4</f>
        <v>3.01125</v>
      </c>
      <c r="M4" s="1260">
        <f>'Simulac. Factura Indiv. Sen CE'!$B$3*(365/12)*'Datos Custos Factura Eléctrica'!$B4</f>
        <v>3.01125</v>
      </c>
      <c r="N4" s="1260">
        <f>'Simulac. Factura Indiv. Sen CE'!$B$3*(365/12)*'Datos Custos Factura Eléctrica'!$B4</f>
        <v>3.01125</v>
      </c>
      <c r="O4" s="1260">
        <f>'Simulac. Factura Indiv. Sen CE'!$B$3*(365/12)*'Datos Custos Factura Eléctrica'!$B4</f>
        <v>3.01125</v>
      </c>
      <c r="P4" s="1260">
        <f>'Simulac. Factura Indiv. Sen CE'!$B$3*(365/12)*'Datos Custos Factura Eléctrica'!$B4</f>
        <v>3.01125</v>
      </c>
      <c r="Q4" s="1260">
        <f>'Simulac. Factura Indiv. Sen CE'!$B$3*(365/12)*'Datos Custos Factura Eléctrica'!$B4</f>
        <v>3.01125</v>
      </c>
      <c r="R4" s="1260">
        <f>'Simulac. Factura Indiv. Sen CE'!$B$3*(365/12)*'Datos Custos Factura Eléctrica'!$B4</f>
        <v>3.01125</v>
      </c>
      <c r="S4" s="1260">
        <f>'Simulac. Factura Indiv. Sen CE'!$B$3*(365/12)*'Datos Custos Factura Eléctrica'!$B4</f>
        <v>3.01125</v>
      </c>
      <c r="T4" s="1260">
        <f>'Simulac. Factura Indiv. Sen CE'!$B$3*(365/12)*'Datos Custos Factura Eléctrica'!$B4</f>
        <v>3.01125</v>
      </c>
      <c r="U4" s="1260">
        <f>'Simulac. Factura Indiv. Sen CE'!$B$3*(365/12)*'Datos Custos Factura Eléctrica'!$B4</f>
        <v>3.01125</v>
      </c>
      <c r="V4" s="1260">
        <f>'Simulac. Factura Indiv. Sen CE'!$B$3*(365/12)*'Datos Custos Factura Eléctrica'!$B4</f>
        <v>3.01125</v>
      </c>
      <c r="W4" s="1260">
        <f>'Simulac. Factura Indiv. Sen CE'!$B$3*(365/12)*'Datos Custos Factura Eléctrica'!$B4</f>
        <v>3.01125</v>
      </c>
      <c r="X4" s="1260">
        <f>'Simulac. Factura Indiv. Sen CE'!$B$3*(365/12)*'Datos Custos Factura Eléctrica'!$B4</f>
        <v>3.01125</v>
      </c>
      <c r="Y4" s="1260">
        <f>'Simulac. Factura Indiv. Sen CE'!$B$3*(365/12)*'Datos Custos Factura Eléctrica'!$B4</f>
        <v>3.01125</v>
      </c>
      <c r="Z4" s="1260">
        <f>'Simulac. Factura Indiv. Sen CE'!$B$3*(365/12)*'Datos Custos Factura Eléctrica'!$B4</f>
        <v>3.01125</v>
      </c>
      <c r="AA4" s="145">
        <f>SUM(B4:Z4)</f>
        <v>75.281249999999986</v>
      </c>
    </row>
    <row r="5" spans="1:27" x14ac:dyDescent="0.3">
      <c r="A5" s="1319" t="s">
        <v>1080</v>
      </c>
      <c r="B5" s="1318" t="e">
        <f ca="1">B58*'Datos Custos Factura Eléctrica'!$B$5</f>
        <v>#N/A</v>
      </c>
      <c r="C5" s="1318" t="e">
        <f ca="1">C58*'Datos Custos Factura Eléctrica'!$B$5</f>
        <v>#N/A</v>
      </c>
      <c r="D5" s="1318" t="e">
        <f ca="1">D58*'Datos Custos Factura Eléctrica'!$B$5</f>
        <v>#N/A</v>
      </c>
      <c r="E5" s="1318" t="e">
        <f ca="1">E58*'Datos Custos Factura Eléctrica'!$B$5</f>
        <v>#N/A</v>
      </c>
      <c r="F5" s="1318" t="e">
        <f ca="1">F58*'Datos Custos Factura Eléctrica'!$B$5</f>
        <v>#N/A</v>
      </c>
      <c r="G5" s="1318" t="e">
        <f ca="1">G58*'Datos Custos Factura Eléctrica'!$B$5</f>
        <v>#N/A</v>
      </c>
      <c r="H5" s="1318" t="e">
        <f ca="1">H58*'Datos Custos Factura Eléctrica'!$B$5</f>
        <v>#N/A</v>
      </c>
      <c r="I5" s="1318" t="e">
        <f ca="1">I58*'Datos Custos Factura Eléctrica'!$B$5</f>
        <v>#N/A</v>
      </c>
      <c r="J5" s="1318" t="e">
        <f ca="1">J58*'Datos Custos Factura Eléctrica'!$B$5</f>
        <v>#N/A</v>
      </c>
      <c r="K5" s="1318" t="e">
        <f ca="1">K58*'Datos Custos Factura Eléctrica'!$B$5</f>
        <v>#N/A</v>
      </c>
      <c r="L5" s="1318" t="e">
        <f ca="1">L58*'Datos Custos Factura Eléctrica'!$B$5</f>
        <v>#N/A</v>
      </c>
      <c r="M5" s="1318" t="e">
        <f ca="1">M58*'Datos Custos Factura Eléctrica'!$B$5</f>
        <v>#N/A</v>
      </c>
      <c r="N5" s="1318" t="e">
        <f ca="1">N58*'Datos Custos Factura Eléctrica'!$B$5</f>
        <v>#N/A</v>
      </c>
      <c r="O5" s="1318" t="e">
        <f ca="1">O58*'Datos Custos Factura Eléctrica'!$B$5</f>
        <v>#N/A</v>
      </c>
      <c r="P5" s="1318" t="e">
        <f ca="1">P58*'Datos Custos Factura Eléctrica'!$B$5</f>
        <v>#N/A</v>
      </c>
      <c r="Q5" s="1318" t="e">
        <f ca="1">Q58*'Datos Custos Factura Eléctrica'!$B$5</f>
        <v>#N/A</v>
      </c>
      <c r="R5" s="1318" t="e">
        <f ca="1">R58*'Datos Custos Factura Eléctrica'!$B$5</f>
        <v>#N/A</v>
      </c>
      <c r="S5" s="1318" t="e">
        <f ca="1">S58*'Datos Custos Factura Eléctrica'!$B$5</f>
        <v>#N/A</v>
      </c>
      <c r="T5" s="1318" t="e">
        <f ca="1">T58*'Datos Custos Factura Eléctrica'!$B$5</f>
        <v>#N/A</v>
      </c>
      <c r="U5" s="1318" t="e">
        <f ca="1">U58*'Datos Custos Factura Eléctrica'!$B$5</f>
        <v>#N/A</v>
      </c>
      <c r="V5" s="1318" t="e">
        <f ca="1">V58*'Datos Custos Factura Eléctrica'!$B$5</f>
        <v>#N/A</v>
      </c>
      <c r="W5" s="1318" t="e">
        <f ca="1">W58*'Datos Custos Factura Eléctrica'!$B$5</f>
        <v>#N/A</v>
      </c>
      <c r="X5" s="1318" t="e">
        <f ca="1">X58*'Datos Custos Factura Eléctrica'!$B$5</f>
        <v>#N/A</v>
      </c>
      <c r="Y5" s="1318" t="e">
        <f ca="1">Y58*'Datos Custos Factura Eléctrica'!$B$5</f>
        <v>#N/A</v>
      </c>
      <c r="Z5" s="1318" t="e">
        <f ca="1">Z58*'Datos Custos Factura Eléctrica'!$B$5</f>
        <v>#N/A</v>
      </c>
      <c r="AA5" s="1317" t="e">
        <f ca="1">SUM(B5:Z5)</f>
        <v>#N/A</v>
      </c>
    </row>
    <row r="6" spans="1:27" ht="15" thickBot="1" x14ac:dyDescent="0.35">
      <c r="A6" s="411" t="s">
        <v>577</v>
      </c>
      <c r="B6" s="1260">
        <f>'Datos Custos Factura Eléctrica'!$B$6*(365/12)</f>
        <v>1.1696729166666668</v>
      </c>
      <c r="C6" s="1260">
        <f>'Datos Custos Factura Eléctrica'!$B$6*(365/12)</f>
        <v>1.1696729166666668</v>
      </c>
      <c r="D6" s="1260">
        <f>'Datos Custos Factura Eléctrica'!$B$6*(365/12)</f>
        <v>1.1696729166666668</v>
      </c>
      <c r="E6" s="1260">
        <f>'Datos Custos Factura Eléctrica'!$B$6*(365/12)</f>
        <v>1.1696729166666668</v>
      </c>
      <c r="F6" s="1260">
        <f>'Datos Custos Factura Eléctrica'!$B$6*(365/12)</f>
        <v>1.1696729166666668</v>
      </c>
      <c r="G6" s="1260">
        <f>'Datos Custos Factura Eléctrica'!$B$6*(365/12)</f>
        <v>1.1696729166666668</v>
      </c>
      <c r="H6" s="1260">
        <f>'Datos Custos Factura Eléctrica'!$B$6*(365/12)</f>
        <v>1.1696729166666668</v>
      </c>
      <c r="I6" s="1260">
        <f>'Datos Custos Factura Eléctrica'!$B$6*(365/12)</f>
        <v>1.1696729166666668</v>
      </c>
      <c r="J6" s="1260">
        <f>'Datos Custos Factura Eléctrica'!$B$6*(365/12)</f>
        <v>1.1696729166666668</v>
      </c>
      <c r="K6" s="1260">
        <f>'Datos Custos Factura Eléctrica'!$B$6*(365/12)</f>
        <v>1.1696729166666668</v>
      </c>
      <c r="L6" s="1260">
        <f>'Datos Custos Factura Eléctrica'!$B$6*(365/12)</f>
        <v>1.1696729166666668</v>
      </c>
      <c r="M6" s="1260">
        <f>'Datos Custos Factura Eléctrica'!$B$6*(365/12)</f>
        <v>1.1696729166666668</v>
      </c>
      <c r="N6" s="1260">
        <f>'Datos Custos Factura Eléctrica'!$B$6*(365/12)</f>
        <v>1.1696729166666668</v>
      </c>
      <c r="O6" s="1260">
        <f>'Datos Custos Factura Eléctrica'!$B$6*(365/12)</f>
        <v>1.1696729166666668</v>
      </c>
      <c r="P6" s="1260">
        <f>'Datos Custos Factura Eléctrica'!$B$6*(365/12)</f>
        <v>1.1696729166666668</v>
      </c>
      <c r="Q6" s="1260">
        <f>'Datos Custos Factura Eléctrica'!$B$6*(365/12)</f>
        <v>1.1696729166666668</v>
      </c>
      <c r="R6" s="1260">
        <f>'Datos Custos Factura Eléctrica'!$B$6*(365/12)</f>
        <v>1.1696729166666668</v>
      </c>
      <c r="S6" s="1260">
        <f>'Datos Custos Factura Eléctrica'!$B$6*(365/12)</f>
        <v>1.1696729166666668</v>
      </c>
      <c r="T6" s="1260">
        <f>'Datos Custos Factura Eléctrica'!$B$6*(365/12)</f>
        <v>1.1696729166666668</v>
      </c>
      <c r="U6" s="1260">
        <f>'Datos Custos Factura Eléctrica'!$B$6*(365/12)</f>
        <v>1.1696729166666668</v>
      </c>
      <c r="V6" s="1260">
        <f>'Datos Custos Factura Eléctrica'!$B$6*(365/12)</f>
        <v>1.1696729166666668</v>
      </c>
      <c r="W6" s="1260">
        <f>'Datos Custos Factura Eléctrica'!$B$6*(365/12)</f>
        <v>1.1696729166666668</v>
      </c>
      <c r="X6" s="1260">
        <f>'Datos Custos Factura Eléctrica'!$B$6*(365/12)</f>
        <v>1.1696729166666668</v>
      </c>
      <c r="Y6" s="1260">
        <f>'Datos Custos Factura Eléctrica'!$B$6*(365/12)</f>
        <v>1.1696729166666668</v>
      </c>
      <c r="Z6" s="1260">
        <f>'Datos Custos Factura Eléctrica'!$B$6*(365/12)</f>
        <v>1.1696729166666668</v>
      </c>
      <c r="AA6" s="145">
        <f>SUM(B6:Z6)</f>
        <v>29.241822916666663</v>
      </c>
    </row>
    <row r="7" spans="1:27" ht="15" thickBot="1" x14ac:dyDescent="0.35">
      <c r="A7" s="1259" t="s">
        <v>1085</v>
      </c>
      <c r="B7" s="1258" t="e">
        <f t="shared" ref="B7:Z7" ca="1" si="0">SUM(B3:B6)</f>
        <v>#N/A</v>
      </c>
      <c r="C7" s="1258" t="e">
        <f t="shared" ca="1" si="0"/>
        <v>#N/A</v>
      </c>
      <c r="D7" s="1258" t="e">
        <f t="shared" ca="1" si="0"/>
        <v>#N/A</v>
      </c>
      <c r="E7" s="1258" t="e">
        <f t="shared" ca="1" si="0"/>
        <v>#N/A</v>
      </c>
      <c r="F7" s="1258" t="e">
        <f t="shared" ca="1" si="0"/>
        <v>#N/A</v>
      </c>
      <c r="G7" s="1258" t="e">
        <f t="shared" ca="1" si="0"/>
        <v>#N/A</v>
      </c>
      <c r="H7" s="1258" t="e">
        <f t="shared" ca="1" si="0"/>
        <v>#N/A</v>
      </c>
      <c r="I7" s="1258" t="e">
        <f t="shared" ca="1" si="0"/>
        <v>#N/A</v>
      </c>
      <c r="J7" s="1258" t="e">
        <f t="shared" ca="1" si="0"/>
        <v>#N/A</v>
      </c>
      <c r="K7" s="1258" t="e">
        <f t="shared" ca="1" si="0"/>
        <v>#N/A</v>
      </c>
      <c r="L7" s="1258" t="e">
        <f t="shared" ca="1" si="0"/>
        <v>#N/A</v>
      </c>
      <c r="M7" s="1258" t="e">
        <f t="shared" ca="1" si="0"/>
        <v>#N/A</v>
      </c>
      <c r="N7" s="1258" t="e">
        <f t="shared" ca="1" si="0"/>
        <v>#N/A</v>
      </c>
      <c r="O7" s="1258" t="e">
        <f t="shared" ca="1" si="0"/>
        <v>#N/A</v>
      </c>
      <c r="P7" s="1258" t="e">
        <f t="shared" ca="1" si="0"/>
        <v>#N/A</v>
      </c>
      <c r="Q7" s="1258" t="e">
        <f t="shared" ca="1" si="0"/>
        <v>#N/A</v>
      </c>
      <c r="R7" s="1258" t="e">
        <f t="shared" ca="1" si="0"/>
        <v>#N/A</v>
      </c>
      <c r="S7" s="1258" t="e">
        <f t="shared" ca="1" si="0"/>
        <v>#N/A</v>
      </c>
      <c r="T7" s="1258" t="e">
        <f t="shared" ca="1" si="0"/>
        <v>#N/A</v>
      </c>
      <c r="U7" s="1258" t="e">
        <f t="shared" ca="1" si="0"/>
        <v>#N/A</v>
      </c>
      <c r="V7" s="1258" t="e">
        <f t="shared" ca="1" si="0"/>
        <v>#N/A</v>
      </c>
      <c r="W7" s="1258" t="e">
        <f t="shared" ca="1" si="0"/>
        <v>#N/A</v>
      </c>
      <c r="X7" s="1258" t="e">
        <f t="shared" ca="1" si="0"/>
        <v>#N/A</v>
      </c>
      <c r="Y7" s="1257" t="e">
        <f t="shared" ca="1" si="0"/>
        <v>#N/A</v>
      </c>
      <c r="Z7" s="1256" t="e">
        <f t="shared" ca="1" si="0"/>
        <v>#N/A</v>
      </c>
      <c r="AA7" s="1256" t="e">
        <f ca="1">SUM(B7:Z7)</f>
        <v>#N/A</v>
      </c>
    </row>
    <row r="8" spans="1:27" x14ac:dyDescent="0.3">
      <c r="A8" s="411"/>
      <c r="B8" s="389"/>
      <c r="C8" s="38"/>
    </row>
    <row r="9" spans="1:27" x14ac:dyDescent="0.3">
      <c r="A9" s="411" t="s">
        <v>582</v>
      </c>
      <c r="B9" s="1255" t="e">
        <f ca="1">B7*'Simulac. Factura Indiv. Sen CE'!$C$8</f>
        <v>#N/A</v>
      </c>
      <c r="C9" s="1255" t="e">
        <f ca="1">C7*'Simulac. Factura Indiv. Sen CE'!$C$8</f>
        <v>#N/A</v>
      </c>
      <c r="D9" s="1255" t="e">
        <f ca="1">D7*'Simulac. Factura Indiv. Sen CE'!$C$8</f>
        <v>#N/A</v>
      </c>
      <c r="E9" s="1255" t="e">
        <f ca="1">E7*'Simulac. Factura Indiv. Sen CE'!$C$8</f>
        <v>#N/A</v>
      </c>
      <c r="F9" s="1255" t="e">
        <f ca="1">F7*'Simulac. Factura Indiv. Sen CE'!$C$8</f>
        <v>#N/A</v>
      </c>
      <c r="G9" s="1255" t="e">
        <f ca="1">G7*'Simulac. Factura Indiv. Sen CE'!$C$8</f>
        <v>#N/A</v>
      </c>
      <c r="H9" s="1255" t="e">
        <f ca="1">H7*'Simulac. Factura Indiv. Sen CE'!$C$8</f>
        <v>#N/A</v>
      </c>
      <c r="I9" s="1255" t="e">
        <f ca="1">I7*'Simulac. Factura Indiv. Sen CE'!$C$8</f>
        <v>#N/A</v>
      </c>
      <c r="J9" s="1255" t="e">
        <f ca="1">J7*'Simulac. Factura Indiv. Sen CE'!$C$8</f>
        <v>#N/A</v>
      </c>
      <c r="K9" s="1255" t="e">
        <f ca="1">K7*'Simulac. Factura Indiv. Sen CE'!$C$8</f>
        <v>#N/A</v>
      </c>
      <c r="L9" s="1255" t="e">
        <f ca="1">L7*'Simulac. Factura Indiv. Sen CE'!$C$8</f>
        <v>#N/A</v>
      </c>
      <c r="M9" s="1255" t="e">
        <f ca="1">M7*'Simulac. Factura Indiv. Sen CE'!$C$8</f>
        <v>#N/A</v>
      </c>
      <c r="N9" s="1255" t="e">
        <f ca="1">N7*'Simulac. Factura Indiv. Sen CE'!$C$8</f>
        <v>#N/A</v>
      </c>
      <c r="O9" s="1255" t="e">
        <f ca="1">O7*'Simulac. Factura Indiv. Sen CE'!$C$8</f>
        <v>#N/A</v>
      </c>
      <c r="P9" s="1255" t="e">
        <f ca="1">P7*'Simulac. Factura Indiv. Sen CE'!$C$8</f>
        <v>#N/A</v>
      </c>
      <c r="Q9" s="1255" t="e">
        <f ca="1">Q7*'Simulac. Factura Indiv. Sen CE'!$C$8</f>
        <v>#N/A</v>
      </c>
      <c r="R9" s="1255" t="e">
        <f ca="1">R7*'Simulac. Factura Indiv. Sen CE'!$C$8</f>
        <v>#N/A</v>
      </c>
      <c r="S9" s="1255" t="e">
        <f ca="1">S7*'Simulac. Factura Indiv. Sen CE'!$C$8</f>
        <v>#N/A</v>
      </c>
      <c r="T9" s="1255" t="e">
        <f ca="1">T7*'Simulac. Factura Indiv. Sen CE'!$C$8</f>
        <v>#N/A</v>
      </c>
      <c r="U9" s="1255" t="e">
        <f ca="1">U7*'Simulac. Factura Indiv. Sen CE'!$C$8</f>
        <v>#N/A</v>
      </c>
      <c r="V9" s="1255" t="e">
        <f ca="1">V7*'Simulac. Factura Indiv. Sen CE'!$C$8</f>
        <v>#N/A</v>
      </c>
      <c r="W9" s="1255" t="e">
        <f ca="1">W7*'Simulac. Factura Indiv. Sen CE'!$C$8</f>
        <v>#N/A</v>
      </c>
      <c r="X9" s="1255" t="e">
        <f ca="1">X7*'Simulac. Factura Indiv. Sen CE'!$C$8</f>
        <v>#N/A</v>
      </c>
      <c r="Y9" s="1255" t="e">
        <f ca="1">Y7*'Simulac. Factura Indiv. Sen CE'!$C$8</f>
        <v>#N/A</v>
      </c>
      <c r="Z9" s="1255" t="e">
        <f ca="1">Z7*'Simulac. Factura Indiv. Sen CE'!$C$8</f>
        <v>#N/A</v>
      </c>
      <c r="AA9" s="145" t="e">
        <f ca="1">SUM(B9:Z9)</f>
        <v>#N/A</v>
      </c>
    </row>
    <row r="10" spans="1:27" x14ac:dyDescent="0.3">
      <c r="A10" s="411"/>
      <c r="B10" s="389"/>
      <c r="C10" s="38"/>
    </row>
    <row r="11" spans="1:27" x14ac:dyDescent="0.3">
      <c r="A11" s="411" t="s">
        <v>585</v>
      </c>
      <c r="B11" s="1260">
        <f>'Datos Custos Factura Eléctrica'!$B$11*(365/12)</f>
        <v>0.81474083333333336</v>
      </c>
      <c r="C11" s="1260">
        <f>'Datos Custos Factura Eléctrica'!$B$11*(365/12)</f>
        <v>0.81474083333333336</v>
      </c>
      <c r="D11" s="1260">
        <f>'Datos Custos Factura Eléctrica'!$B$11*(365/12)</f>
        <v>0.81474083333333336</v>
      </c>
      <c r="E11" s="1260">
        <f>'Datos Custos Factura Eléctrica'!$B$11*(365/12)</f>
        <v>0.81474083333333336</v>
      </c>
      <c r="F11" s="1260">
        <f>'Datos Custos Factura Eléctrica'!$B$11*(365/12)</f>
        <v>0.81474083333333336</v>
      </c>
      <c r="G11" s="1260">
        <f>'Datos Custos Factura Eléctrica'!$B$11*(365/12)</f>
        <v>0.81474083333333336</v>
      </c>
      <c r="H11" s="1260">
        <f>'Datos Custos Factura Eléctrica'!$B$11*(365/12)</f>
        <v>0.81474083333333336</v>
      </c>
      <c r="I11" s="1260">
        <f>'Datos Custos Factura Eléctrica'!$B$11*(365/12)</f>
        <v>0.81474083333333336</v>
      </c>
      <c r="J11" s="1260">
        <f>'Datos Custos Factura Eléctrica'!$B$11*(365/12)</f>
        <v>0.81474083333333336</v>
      </c>
      <c r="K11" s="1260">
        <f>'Datos Custos Factura Eléctrica'!$B$11*(365/12)</f>
        <v>0.81474083333333336</v>
      </c>
      <c r="L11" s="1260">
        <f>'Datos Custos Factura Eléctrica'!$B$11*(365/12)</f>
        <v>0.81474083333333336</v>
      </c>
      <c r="M11" s="1260">
        <f>'Datos Custos Factura Eléctrica'!$B$11*(365/12)</f>
        <v>0.81474083333333336</v>
      </c>
      <c r="N11" s="1260">
        <f>'Datos Custos Factura Eléctrica'!$B$11*(365/12)</f>
        <v>0.81474083333333336</v>
      </c>
      <c r="O11" s="1260">
        <f>'Datos Custos Factura Eléctrica'!$B$11*(365/12)</f>
        <v>0.81474083333333336</v>
      </c>
      <c r="P11" s="1260">
        <f>'Datos Custos Factura Eléctrica'!$B$11*(365/12)</f>
        <v>0.81474083333333336</v>
      </c>
      <c r="Q11" s="1260">
        <f>'Datos Custos Factura Eléctrica'!$B$11*(365/12)</f>
        <v>0.81474083333333336</v>
      </c>
      <c r="R11" s="1260">
        <f>'Datos Custos Factura Eléctrica'!$B$11*(365/12)</f>
        <v>0.81474083333333336</v>
      </c>
      <c r="S11" s="1260">
        <f>'Datos Custos Factura Eléctrica'!$B$11*(365/12)</f>
        <v>0.81474083333333336</v>
      </c>
      <c r="T11" s="1260">
        <f>'Datos Custos Factura Eléctrica'!$B$11*(365/12)</f>
        <v>0.81474083333333336</v>
      </c>
      <c r="U11" s="1260">
        <f>'Datos Custos Factura Eléctrica'!$B$11*(365/12)</f>
        <v>0.81474083333333336</v>
      </c>
      <c r="V11" s="1260">
        <f>'Datos Custos Factura Eléctrica'!$B$11*(365/12)</f>
        <v>0.81474083333333336</v>
      </c>
      <c r="W11" s="1260">
        <f>'Datos Custos Factura Eléctrica'!$B$11*(365/12)</f>
        <v>0.81474083333333336</v>
      </c>
      <c r="X11" s="1260">
        <f>'Datos Custos Factura Eléctrica'!$B$11*(365/12)</f>
        <v>0.81474083333333336</v>
      </c>
      <c r="Y11" s="1260">
        <f>'Datos Custos Factura Eléctrica'!$B$11*(365/12)</f>
        <v>0.81474083333333336</v>
      </c>
      <c r="Z11" s="1260">
        <f>'Datos Custos Factura Eléctrica'!$B$11*(365/12)</f>
        <v>0.81474083333333336</v>
      </c>
      <c r="AA11" s="145">
        <f>SUM(B11:Z11)</f>
        <v>20.368520833333324</v>
      </c>
    </row>
    <row r="12" spans="1:27" ht="15" thickBot="1" x14ac:dyDescent="0.35">
      <c r="A12" s="411"/>
      <c r="B12" s="389"/>
      <c r="C12" s="38"/>
    </row>
    <row r="13" spans="1:27" ht="15" thickBot="1" x14ac:dyDescent="0.35">
      <c r="A13" s="1259" t="s">
        <v>1084</v>
      </c>
      <c r="B13" s="1258" t="e">
        <f t="shared" ref="B13:Z13" ca="1" si="1">B7+B9+B11</f>
        <v>#N/A</v>
      </c>
      <c r="C13" s="1258" t="e">
        <f t="shared" ca="1" si="1"/>
        <v>#N/A</v>
      </c>
      <c r="D13" s="1258" t="e">
        <f t="shared" ca="1" si="1"/>
        <v>#N/A</v>
      </c>
      <c r="E13" s="1258" t="e">
        <f t="shared" ca="1" si="1"/>
        <v>#N/A</v>
      </c>
      <c r="F13" s="1258" t="e">
        <f t="shared" ca="1" si="1"/>
        <v>#N/A</v>
      </c>
      <c r="G13" s="1258" t="e">
        <f t="shared" ca="1" si="1"/>
        <v>#N/A</v>
      </c>
      <c r="H13" s="1258" t="e">
        <f t="shared" ca="1" si="1"/>
        <v>#N/A</v>
      </c>
      <c r="I13" s="1258" t="e">
        <f t="shared" ca="1" si="1"/>
        <v>#N/A</v>
      </c>
      <c r="J13" s="1258" t="e">
        <f t="shared" ca="1" si="1"/>
        <v>#N/A</v>
      </c>
      <c r="K13" s="1258" t="e">
        <f t="shared" ca="1" si="1"/>
        <v>#N/A</v>
      </c>
      <c r="L13" s="1258" t="e">
        <f t="shared" ca="1" si="1"/>
        <v>#N/A</v>
      </c>
      <c r="M13" s="1258" t="e">
        <f t="shared" ca="1" si="1"/>
        <v>#N/A</v>
      </c>
      <c r="N13" s="1258" t="e">
        <f t="shared" ca="1" si="1"/>
        <v>#N/A</v>
      </c>
      <c r="O13" s="1258" t="e">
        <f t="shared" ca="1" si="1"/>
        <v>#N/A</v>
      </c>
      <c r="P13" s="1258" t="e">
        <f t="shared" ca="1" si="1"/>
        <v>#N/A</v>
      </c>
      <c r="Q13" s="1258" t="e">
        <f t="shared" ca="1" si="1"/>
        <v>#N/A</v>
      </c>
      <c r="R13" s="1258" t="e">
        <f t="shared" ca="1" si="1"/>
        <v>#N/A</v>
      </c>
      <c r="S13" s="1258" t="e">
        <f t="shared" ca="1" si="1"/>
        <v>#N/A</v>
      </c>
      <c r="T13" s="1258" t="e">
        <f t="shared" ca="1" si="1"/>
        <v>#N/A</v>
      </c>
      <c r="U13" s="1258" t="e">
        <f t="shared" ca="1" si="1"/>
        <v>#N/A</v>
      </c>
      <c r="V13" s="1258" t="e">
        <f t="shared" ca="1" si="1"/>
        <v>#N/A</v>
      </c>
      <c r="W13" s="1258" t="e">
        <f t="shared" ca="1" si="1"/>
        <v>#N/A</v>
      </c>
      <c r="X13" s="1258" t="e">
        <f t="shared" ca="1" si="1"/>
        <v>#N/A</v>
      </c>
      <c r="Y13" s="1258" t="e">
        <f t="shared" ca="1" si="1"/>
        <v>#N/A</v>
      </c>
      <c r="Z13" s="1258" t="e">
        <f t="shared" ca="1" si="1"/>
        <v>#N/A</v>
      </c>
      <c r="AA13" s="1256" t="e">
        <f ca="1">SUM(B13:Z13)</f>
        <v>#N/A</v>
      </c>
    </row>
    <row r="14" spans="1:27" x14ac:dyDescent="0.3">
      <c r="A14" s="411"/>
      <c r="B14" s="389"/>
      <c r="C14" s="38"/>
    </row>
    <row r="15" spans="1:27" x14ac:dyDescent="0.3">
      <c r="A15" s="411" t="s">
        <v>1083</v>
      </c>
      <c r="B15" s="1255" t="e">
        <f ca="1">B13*'Simulac. Factura Indiv. Sen CE'!$C$14</f>
        <v>#N/A</v>
      </c>
      <c r="C15" s="1255" t="e">
        <f ca="1">C13*'Simulac. Factura Indiv. Sen CE'!$C$14</f>
        <v>#N/A</v>
      </c>
      <c r="D15" s="1255" t="e">
        <f ca="1">D13*'Simulac. Factura Indiv. Sen CE'!$C$14</f>
        <v>#N/A</v>
      </c>
      <c r="E15" s="1255" t="e">
        <f ca="1">E13*'Simulac. Factura Indiv. Sen CE'!$C$14</f>
        <v>#N/A</v>
      </c>
      <c r="F15" s="1255" t="e">
        <f ca="1">F13*'Simulac. Factura Indiv. Sen CE'!$C$14</f>
        <v>#N/A</v>
      </c>
      <c r="G15" s="1255" t="e">
        <f ca="1">G13*'Simulac. Factura Indiv. Sen CE'!$C$14</f>
        <v>#N/A</v>
      </c>
      <c r="H15" s="1255" t="e">
        <f ca="1">H13*'Simulac. Factura Indiv. Sen CE'!$C$14</f>
        <v>#N/A</v>
      </c>
      <c r="I15" s="1255" t="e">
        <f ca="1">I13*'Simulac. Factura Indiv. Sen CE'!$C$14</f>
        <v>#N/A</v>
      </c>
      <c r="J15" s="1255" t="e">
        <f ca="1">J13*'Simulac. Factura Indiv. Sen CE'!$C$14</f>
        <v>#N/A</v>
      </c>
      <c r="K15" s="1255" t="e">
        <f ca="1">K13*'Simulac. Factura Indiv. Sen CE'!$C$14</f>
        <v>#N/A</v>
      </c>
      <c r="L15" s="1255" t="e">
        <f ca="1">L13*'Simulac. Factura Indiv. Sen CE'!$C$14</f>
        <v>#N/A</v>
      </c>
      <c r="M15" s="1255" t="e">
        <f ca="1">M13*'Simulac. Factura Indiv. Sen CE'!$C$14</f>
        <v>#N/A</v>
      </c>
      <c r="N15" s="1255" t="e">
        <f ca="1">N13*'Simulac. Factura Indiv. Sen CE'!$C$14</f>
        <v>#N/A</v>
      </c>
      <c r="O15" s="1255" t="e">
        <f ca="1">O13*'Simulac. Factura Indiv. Sen CE'!$C$14</f>
        <v>#N/A</v>
      </c>
      <c r="P15" s="1255" t="e">
        <f ca="1">P13*'Simulac. Factura Indiv. Sen CE'!$C$14</f>
        <v>#N/A</v>
      </c>
      <c r="Q15" s="1255" t="e">
        <f ca="1">Q13*'Simulac. Factura Indiv. Sen CE'!$C$14</f>
        <v>#N/A</v>
      </c>
      <c r="R15" s="1255" t="e">
        <f ca="1">R13*'Simulac. Factura Indiv. Sen CE'!$C$14</f>
        <v>#N/A</v>
      </c>
      <c r="S15" s="1255" t="e">
        <f ca="1">S13*'Simulac. Factura Indiv. Sen CE'!$C$14</f>
        <v>#N/A</v>
      </c>
      <c r="T15" s="1255" t="e">
        <f ca="1">T13*'Simulac. Factura Indiv. Sen CE'!$C$14</f>
        <v>#N/A</v>
      </c>
      <c r="U15" s="1255" t="e">
        <f ca="1">U13*'Simulac. Factura Indiv. Sen CE'!$C$14</f>
        <v>#N/A</v>
      </c>
      <c r="V15" s="1255" t="e">
        <f ca="1">V13*'Simulac. Factura Indiv. Sen CE'!$C$14</f>
        <v>#N/A</v>
      </c>
      <c r="W15" s="1255" t="e">
        <f ca="1">W13*'Simulac. Factura Indiv. Sen CE'!$C$14</f>
        <v>#N/A</v>
      </c>
      <c r="X15" s="1255" t="e">
        <f ca="1">X13*'Simulac. Factura Indiv. Sen CE'!$C$14</f>
        <v>#N/A</v>
      </c>
      <c r="Y15" s="1255" t="e">
        <f ca="1">Y13*'Simulac. Factura Indiv. Sen CE'!$C$14</f>
        <v>#N/A</v>
      </c>
      <c r="Z15" s="1255" t="e">
        <f ca="1">Z13*'Simulac. Factura Indiv. Sen CE'!$C$14</f>
        <v>#N/A</v>
      </c>
      <c r="AA15" s="145" t="e">
        <f ca="1">SUM(B15:Z15)</f>
        <v>#N/A</v>
      </c>
    </row>
    <row r="16" spans="1:27" ht="15" thickBot="1" x14ac:dyDescent="0.35">
      <c r="A16" s="411"/>
      <c r="B16" s="389"/>
      <c r="C16" s="38"/>
    </row>
    <row r="17" spans="1:27" ht="15" thickBot="1" x14ac:dyDescent="0.35">
      <c r="A17" s="1254" t="s">
        <v>1082</v>
      </c>
      <c r="B17" s="1253" t="e">
        <f t="shared" ref="B17:Z17" ca="1" si="2">B13+B15</f>
        <v>#N/A</v>
      </c>
      <c r="C17" s="1253" t="e">
        <f t="shared" ca="1" si="2"/>
        <v>#N/A</v>
      </c>
      <c r="D17" s="1253" t="e">
        <f t="shared" ca="1" si="2"/>
        <v>#N/A</v>
      </c>
      <c r="E17" s="1253" t="e">
        <f t="shared" ca="1" si="2"/>
        <v>#N/A</v>
      </c>
      <c r="F17" s="1253" t="e">
        <f t="shared" ca="1" si="2"/>
        <v>#N/A</v>
      </c>
      <c r="G17" s="1253" t="e">
        <f t="shared" ca="1" si="2"/>
        <v>#N/A</v>
      </c>
      <c r="H17" s="1253" t="e">
        <f t="shared" ca="1" si="2"/>
        <v>#N/A</v>
      </c>
      <c r="I17" s="1253" t="e">
        <f t="shared" ca="1" si="2"/>
        <v>#N/A</v>
      </c>
      <c r="J17" s="1253" t="e">
        <f t="shared" ca="1" si="2"/>
        <v>#N/A</v>
      </c>
      <c r="K17" s="1253" t="e">
        <f t="shared" ca="1" si="2"/>
        <v>#N/A</v>
      </c>
      <c r="L17" s="1253" t="e">
        <f t="shared" ca="1" si="2"/>
        <v>#N/A</v>
      </c>
      <c r="M17" s="1253" t="e">
        <f t="shared" ca="1" si="2"/>
        <v>#N/A</v>
      </c>
      <c r="N17" s="1253" t="e">
        <f t="shared" ca="1" si="2"/>
        <v>#N/A</v>
      </c>
      <c r="O17" s="1253" t="e">
        <f t="shared" ca="1" si="2"/>
        <v>#N/A</v>
      </c>
      <c r="P17" s="1253" t="e">
        <f t="shared" ca="1" si="2"/>
        <v>#N/A</v>
      </c>
      <c r="Q17" s="1253" t="e">
        <f t="shared" ca="1" si="2"/>
        <v>#N/A</v>
      </c>
      <c r="R17" s="1253" t="e">
        <f t="shared" ca="1" si="2"/>
        <v>#N/A</v>
      </c>
      <c r="S17" s="1253" t="e">
        <f t="shared" ca="1" si="2"/>
        <v>#N/A</v>
      </c>
      <c r="T17" s="1253" t="e">
        <f t="shared" ca="1" si="2"/>
        <v>#N/A</v>
      </c>
      <c r="U17" s="1253" t="e">
        <f t="shared" ca="1" si="2"/>
        <v>#N/A</v>
      </c>
      <c r="V17" s="1253" t="e">
        <f t="shared" ca="1" si="2"/>
        <v>#N/A</v>
      </c>
      <c r="W17" s="1253" t="e">
        <f t="shared" ca="1" si="2"/>
        <v>#N/A</v>
      </c>
      <c r="X17" s="1253" t="e">
        <f t="shared" ca="1" si="2"/>
        <v>#N/A</v>
      </c>
      <c r="Y17" s="1253" t="e">
        <f t="shared" ca="1" si="2"/>
        <v>#N/A</v>
      </c>
      <c r="Z17" s="1252" t="e">
        <f t="shared" ca="1" si="2"/>
        <v>#N/A</v>
      </c>
      <c r="AA17" s="1251" t="e">
        <f ca="1">SUM(B17:Z17)</f>
        <v>#N/A</v>
      </c>
    </row>
    <row r="18" spans="1:27" x14ac:dyDescent="0.3">
      <c r="A18" s="1285"/>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74"/>
    </row>
    <row r="19" spans="1:27" x14ac:dyDescent="0.3">
      <c r="A19" t="s">
        <v>1157</v>
      </c>
      <c r="B19" s="1255" t="e">
        <f ca="1">-(B17-'Factura Socios Sen CE'!B17)</f>
        <v>#N/A</v>
      </c>
      <c r="C19" s="1255" t="e">
        <f ca="1">-(C17-'Factura Socios Sen CE'!C17)</f>
        <v>#N/A</v>
      </c>
      <c r="D19" s="1255" t="e">
        <f ca="1">-(D17-'Factura Socios Sen CE'!D17)</f>
        <v>#N/A</v>
      </c>
      <c r="E19" s="1255" t="e">
        <f ca="1">-(E17-'Factura Socios Sen CE'!E17)</f>
        <v>#N/A</v>
      </c>
      <c r="F19" s="1255" t="e">
        <f ca="1">-(F17-'Factura Socios Sen CE'!F17)</f>
        <v>#N/A</v>
      </c>
      <c r="G19" s="1255" t="e">
        <f ca="1">-(G17-'Factura Socios Sen CE'!G17)</f>
        <v>#N/A</v>
      </c>
      <c r="H19" s="1255" t="e">
        <f ca="1">-(H17-'Factura Socios Sen CE'!H17)</f>
        <v>#N/A</v>
      </c>
      <c r="I19" s="1255" t="e">
        <f ca="1">-(I17-'Factura Socios Sen CE'!I17)</f>
        <v>#N/A</v>
      </c>
      <c r="J19" s="1255" t="e">
        <f ca="1">-(J17-'Factura Socios Sen CE'!J17)</f>
        <v>#N/A</v>
      </c>
      <c r="K19" s="1255" t="e">
        <f ca="1">-(K17-'Factura Socios Sen CE'!K17)</f>
        <v>#N/A</v>
      </c>
      <c r="L19" s="1255" t="e">
        <f ca="1">-(L17-'Factura Socios Sen CE'!L17)</f>
        <v>#N/A</v>
      </c>
      <c r="M19" s="1255" t="e">
        <f ca="1">-(M17-'Factura Socios Sen CE'!M17)</f>
        <v>#N/A</v>
      </c>
      <c r="N19" s="1255" t="e">
        <f ca="1">-(N17-'Factura Socios Sen CE'!N17)</f>
        <v>#N/A</v>
      </c>
      <c r="O19" s="1255" t="e">
        <f ca="1">-(O17-'Factura Socios Sen CE'!O17)</f>
        <v>#N/A</v>
      </c>
      <c r="P19" s="1255" t="e">
        <f ca="1">-(P17-'Factura Socios Sen CE'!P17)</f>
        <v>#N/A</v>
      </c>
      <c r="Q19" s="1255" t="e">
        <f ca="1">-(Q17-'Factura Socios Sen CE'!Q17)</f>
        <v>#N/A</v>
      </c>
      <c r="R19" s="1255" t="e">
        <f ca="1">-(R17-'Factura Socios Sen CE'!R17)</f>
        <v>#N/A</v>
      </c>
      <c r="S19" s="1255" t="e">
        <f ca="1">-(S17-'Factura Socios Sen CE'!S17)</f>
        <v>#N/A</v>
      </c>
      <c r="T19" s="1255" t="e">
        <f ca="1">-(T17-'Factura Socios Sen CE'!T17)</f>
        <v>#N/A</v>
      </c>
      <c r="U19" s="1255" t="e">
        <f ca="1">-(U17-'Factura Socios Sen CE'!U17)</f>
        <v>#N/A</v>
      </c>
      <c r="V19" s="1255" t="e">
        <f ca="1">-(V17-'Factura Socios Sen CE'!V17)</f>
        <v>#N/A</v>
      </c>
      <c r="W19" s="1255" t="e">
        <f ca="1">-(W17-'Factura Socios Sen CE'!W17)</f>
        <v>#N/A</v>
      </c>
      <c r="X19" s="1255" t="e">
        <f ca="1">-(X17-'Factura Socios Sen CE'!X17)</f>
        <v>#N/A</v>
      </c>
      <c r="Y19" s="1255" t="e">
        <f ca="1">-(Y17-'Factura Socios Sen CE'!Y17)</f>
        <v>#N/A</v>
      </c>
      <c r="Z19" s="1255" t="e">
        <f ca="1">-(Z17-'Factura Socios Sen CE'!Z17)</f>
        <v>#N/A</v>
      </c>
      <c r="AA19" s="1315" t="e">
        <f ca="1">SUM(B19:Z19)</f>
        <v>#N/A</v>
      </c>
    </row>
    <row r="20" spans="1:27" x14ac:dyDescent="0.3">
      <c r="A20" t="s">
        <v>1156</v>
      </c>
      <c r="B20" s="1255" t="e">
        <f ca="1">'Ingresos Socios'!B10</f>
        <v>#N/A</v>
      </c>
      <c r="C20" s="1255" t="e">
        <f ca="1">'Ingresos Socios'!C10</f>
        <v>#N/A</v>
      </c>
      <c r="D20" s="1255" t="e">
        <f ca="1">'Ingresos Socios'!D10</f>
        <v>#N/A</v>
      </c>
      <c r="E20" s="1255" t="e">
        <f ca="1">'Ingresos Socios'!E10</f>
        <v>#N/A</v>
      </c>
      <c r="F20" s="1255" t="e">
        <f ca="1">'Ingresos Socios'!F10</f>
        <v>#N/A</v>
      </c>
      <c r="G20" s="1255" t="e">
        <f ca="1">'Ingresos Socios'!G10</f>
        <v>#N/A</v>
      </c>
      <c r="H20" s="1255" t="e">
        <f ca="1">'Ingresos Socios'!H10</f>
        <v>#N/A</v>
      </c>
      <c r="I20" s="1255" t="e">
        <f ca="1">'Ingresos Socios'!I10</f>
        <v>#N/A</v>
      </c>
      <c r="J20" s="1255" t="e">
        <f ca="1">'Ingresos Socios'!J10</f>
        <v>#N/A</v>
      </c>
      <c r="K20" s="1255" t="e">
        <f ca="1">'Ingresos Socios'!K10</f>
        <v>#N/A</v>
      </c>
      <c r="L20" s="1255" t="e">
        <f ca="1">'Ingresos Socios'!L10</f>
        <v>#N/A</v>
      </c>
      <c r="M20" s="1255" t="e">
        <f ca="1">'Ingresos Socios'!M10</f>
        <v>#N/A</v>
      </c>
      <c r="N20" s="1255" t="e">
        <f ca="1">'Ingresos Socios'!N10</f>
        <v>#N/A</v>
      </c>
      <c r="O20" s="1255" t="e">
        <f ca="1">'Ingresos Socios'!O10</f>
        <v>#N/A</v>
      </c>
      <c r="P20" s="1255" t="e">
        <f ca="1">'Ingresos Socios'!P10</f>
        <v>#N/A</v>
      </c>
      <c r="Q20" s="1255" t="e">
        <f ca="1">'Ingresos Socios'!Q10</f>
        <v>#N/A</v>
      </c>
      <c r="R20" s="1255" t="e">
        <f ca="1">'Ingresos Socios'!R10</f>
        <v>#N/A</v>
      </c>
      <c r="S20" s="1255" t="e">
        <f ca="1">'Ingresos Socios'!S10</f>
        <v>#N/A</v>
      </c>
      <c r="T20" s="1255" t="e">
        <f ca="1">'Ingresos Socios'!T10</f>
        <v>#N/A</v>
      </c>
      <c r="U20" s="1255" t="e">
        <f ca="1">'Ingresos Socios'!U10</f>
        <v>#N/A</v>
      </c>
      <c r="V20" s="1255" t="e">
        <f ca="1">'Ingresos Socios'!V10</f>
        <v>#N/A</v>
      </c>
      <c r="W20" s="1255" t="e">
        <f ca="1">'Ingresos Socios'!W10</f>
        <v>#N/A</v>
      </c>
      <c r="X20" s="1255" t="e">
        <f ca="1">'Ingresos Socios'!X10</f>
        <v>#N/A</v>
      </c>
      <c r="Y20" s="1255" t="e">
        <f ca="1">'Ingresos Socios'!Y10</f>
        <v>#N/A</v>
      </c>
      <c r="Z20" s="1255" t="e">
        <f ca="1">'Ingresos Socios'!Z10</f>
        <v>#N/A</v>
      </c>
      <c r="AA20" s="1315" t="e">
        <f ca="1">SUM(B20:Z20)</f>
        <v>#N/A</v>
      </c>
    </row>
    <row r="21" spans="1:27" x14ac:dyDescent="0.3">
      <c r="A21" t="s">
        <v>1155</v>
      </c>
      <c r="B21" s="1255" t="e">
        <f t="shared" ref="B21:Z21" ca="1" si="3">B20-B19</f>
        <v>#N/A</v>
      </c>
      <c r="C21" s="1255" t="e">
        <f t="shared" ca="1" si="3"/>
        <v>#N/A</v>
      </c>
      <c r="D21" s="1255" t="e">
        <f t="shared" ca="1" si="3"/>
        <v>#N/A</v>
      </c>
      <c r="E21" s="1255" t="e">
        <f t="shared" ca="1" si="3"/>
        <v>#N/A</v>
      </c>
      <c r="F21" s="1255" t="e">
        <f t="shared" ca="1" si="3"/>
        <v>#N/A</v>
      </c>
      <c r="G21" s="1255" t="e">
        <f t="shared" ca="1" si="3"/>
        <v>#N/A</v>
      </c>
      <c r="H21" s="1255" t="e">
        <f t="shared" ca="1" si="3"/>
        <v>#N/A</v>
      </c>
      <c r="I21" s="1255" t="e">
        <f t="shared" ca="1" si="3"/>
        <v>#N/A</v>
      </c>
      <c r="J21" s="1255" t="e">
        <f t="shared" ca="1" si="3"/>
        <v>#N/A</v>
      </c>
      <c r="K21" s="1255" t="e">
        <f t="shared" ca="1" si="3"/>
        <v>#N/A</v>
      </c>
      <c r="L21" s="1255" t="e">
        <f t="shared" ca="1" si="3"/>
        <v>#N/A</v>
      </c>
      <c r="M21" s="1255" t="e">
        <f t="shared" ca="1" si="3"/>
        <v>#N/A</v>
      </c>
      <c r="N21" s="1255" t="e">
        <f t="shared" ca="1" si="3"/>
        <v>#N/A</v>
      </c>
      <c r="O21" s="1255" t="e">
        <f t="shared" ca="1" si="3"/>
        <v>#N/A</v>
      </c>
      <c r="P21" s="1255" t="e">
        <f t="shared" ca="1" si="3"/>
        <v>#N/A</v>
      </c>
      <c r="Q21" s="1255" t="e">
        <f t="shared" ca="1" si="3"/>
        <v>#N/A</v>
      </c>
      <c r="R21" s="1255" t="e">
        <f t="shared" ca="1" si="3"/>
        <v>#N/A</v>
      </c>
      <c r="S21" s="1255" t="e">
        <f t="shared" ca="1" si="3"/>
        <v>#N/A</v>
      </c>
      <c r="T21" s="1255" t="e">
        <f t="shared" ca="1" si="3"/>
        <v>#N/A</v>
      </c>
      <c r="U21" s="1255" t="e">
        <f t="shared" ca="1" si="3"/>
        <v>#N/A</v>
      </c>
      <c r="V21" s="1255" t="e">
        <f t="shared" ca="1" si="3"/>
        <v>#N/A</v>
      </c>
      <c r="W21" s="1255" t="e">
        <f t="shared" ca="1" si="3"/>
        <v>#N/A</v>
      </c>
      <c r="X21" s="1255" t="e">
        <f t="shared" ca="1" si="3"/>
        <v>#N/A</v>
      </c>
      <c r="Y21" s="1255" t="e">
        <f t="shared" ca="1" si="3"/>
        <v>#N/A</v>
      </c>
      <c r="Z21" s="1255" t="e">
        <f t="shared" ca="1" si="3"/>
        <v>#N/A</v>
      </c>
      <c r="AA21" s="1315" t="e">
        <f ca="1">SUM(B21:Z21)</f>
        <v>#N/A</v>
      </c>
    </row>
    <row r="22" spans="1:27" x14ac:dyDescent="0.3">
      <c r="B22" s="1255"/>
      <c r="C22" s="38"/>
    </row>
    <row r="23" spans="1:27" ht="15" thickBot="1" x14ac:dyDescent="0.35">
      <c r="B23" s="1255"/>
      <c r="C23" s="38"/>
    </row>
    <row r="24" spans="1:27" ht="29.4" thickBot="1" x14ac:dyDescent="0.35">
      <c r="A24" s="1314" t="s">
        <v>1154</v>
      </c>
      <c r="B24" s="1313" t="e">
        <f t="shared" ref="B24:Z24" ca="1" si="4">B21-B29</f>
        <v>#N/A</v>
      </c>
      <c r="C24" s="1313" t="e">
        <f t="shared" ca="1" si="4"/>
        <v>#N/A</v>
      </c>
      <c r="D24" s="1313" t="e">
        <f t="shared" ca="1" si="4"/>
        <v>#N/A</v>
      </c>
      <c r="E24" s="1313" t="e">
        <f t="shared" ca="1" si="4"/>
        <v>#N/A</v>
      </c>
      <c r="F24" s="1313" t="e">
        <f t="shared" ca="1" si="4"/>
        <v>#N/A</v>
      </c>
      <c r="G24" s="1313" t="e">
        <f t="shared" ca="1" si="4"/>
        <v>#N/A</v>
      </c>
      <c r="H24" s="1313" t="e">
        <f t="shared" ca="1" si="4"/>
        <v>#N/A</v>
      </c>
      <c r="I24" s="1313" t="e">
        <f t="shared" ca="1" si="4"/>
        <v>#N/A</v>
      </c>
      <c r="J24" s="1313" t="e">
        <f t="shared" ca="1" si="4"/>
        <v>#N/A</v>
      </c>
      <c r="K24" s="1313" t="e">
        <f t="shared" ca="1" si="4"/>
        <v>#N/A</v>
      </c>
      <c r="L24" s="1313" t="e">
        <f t="shared" ca="1" si="4"/>
        <v>#N/A</v>
      </c>
      <c r="M24" s="1313" t="e">
        <f t="shared" ca="1" si="4"/>
        <v>#N/A</v>
      </c>
      <c r="N24" s="1313" t="e">
        <f t="shared" ca="1" si="4"/>
        <v>#N/A</v>
      </c>
      <c r="O24" s="1313" t="e">
        <f t="shared" ca="1" si="4"/>
        <v>#N/A</v>
      </c>
      <c r="P24" s="1313" t="e">
        <f t="shared" ca="1" si="4"/>
        <v>#N/A</v>
      </c>
      <c r="Q24" s="1313" t="e">
        <f t="shared" ca="1" si="4"/>
        <v>#N/A</v>
      </c>
      <c r="R24" s="1313" t="e">
        <f t="shared" ca="1" si="4"/>
        <v>#N/A</v>
      </c>
      <c r="S24" s="1313" t="e">
        <f t="shared" ca="1" si="4"/>
        <v>#N/A</v>
      </c>
      <c r="T24" s="1313" t="e">
        <f t="shared" ca="1" si="4"/>
        <v>#N/A</v>
      </c>
      <c r="U24" s="1313" t="e">
        <f t="shared" ca="1" si="4"/>
        <v>#N/A</v>
      </c>
      <c r="V24" s="1313" t="e">
        <f t="shared" ca="1" si="4"/>
        <v>#N/A</v>
      </c>
      <c r="W24" s="1313" t="e">
        <f t="shared" ca="1" si="4"/>
        <v>#N/A</v>
      </c>
      <c r="X24" s="1313" t="e">
        <f t="shared" ca="1" si="4"/>
        <v>#N/A</v>
      </c>
      <c r="Y24" s="1313" t="e">
        <f t="shared" ca="1" si="4"/>
        <v>#N/A</v>
      </c>
      <c r="Z24" s="1313" t="e">
        <f t="shared" ca="1" si="4"/>
        <v>#N/A</v>
      </c>
      <c r="AA24" s="644" t="e">
        <f ca="1">SUM(B24:Z24)</f>
        <v>#N/A</v>
      </c>
    </row>
    <row r="25" spans="1:27" ht="15" thickBot="1" x14ac:dyDescent="0.35">
      <c r="B25" s="389"/>
      <c r="C25" s="38"/>
    </row>
    <row r="26" spans="1:27" ht="15" thickBot="1" x14ac:dyDescent="0.35">
      <c r="A26" s="1312" t="s">
        <v>1096</v>
      </c>
      <c r="B26" s="389"/>
      <c r="C26" s="38"/>
    </row>
    <row r="27" spans="1:27" ht="28.8" x14ac:dyDescent="0.3">
      <c r="A27" s="1310" t="s">
        <v>1093</v>
      </c>
      <c r="B27" s="1260" t="e">
        <f t="shared" ref="B27:Z27" ca="1" si="5">B53*$C$34*$D$34</f>
        <v>#N/A</v>
      </c>
      <c r="C27" s="1260" t="e">
        <f t="shared" ca="1" si="5"/>
        <v>#N/A</v>
      </c>
      <c r="D27" s="1260" t="e">
        <f t="shared" ca="1" si="5"/>
        <v>#N/A</v>
      </c>
      <c r="E27" s="1260" t="e">
        <f t="shared" ca="1" si="5"/>
        <v>#N/A</v>
      </c>
      <c r="F27" s="1260" t="e">
        <f t="shared" ca="1" si="5"/>
        <v>#N/A</v>
      </c>
      <c r="G27" s="1260" t="e">
        <f t="shared" ca="1" si="5"/>
        <v>#N/A</v>
      </c>
      <c r="H27" s="1260" t="e">
        <f t="shared" ca="1" si="5"/>
        <v>#N/A</v>
      </c>
      <c r="I27" s="1260" t="e">
        <f t="shared" ca="1" si="5"/>
        <v>#N/A</v>
      </c>
      <c r="J27" s="1260" t="e">
        <f t="shared" ca="1" si="5"/>
        <v>#N/A</v>
      </c>
      <c r="K27" s="1260" t="e">
        <f t="shared" ca="1" si="5"/>
        <v>#N/A</v>
      </c>
      <c r="L27" s="1260" t="e">
        <f t="shared" ca="1" si="5"/>
        <v>#N/A</v>
      </c>
      <c r="M27" s="1260" t="e">
        <f t="shared" ca="1" si="5"/>
        <v>#N/A</v>
      </c>
      <c r="N27" s="1260" t="e">
        <f t="shared" ca="1" si="5"/>
        <v>#N/A</v>
      </c>
      <c r="O27" s="1260" t="e">
        <f t="shared" ca="1" si="5"/>
        <v>#N/A</v>
      </c>
      <c r="P27" s="1260" t="e">
        <f t="shared" ca="1" si="5"/>
        <v>#N/A</v>
      </c>
      <c r="Q27" s="1260" t="e">
        <f t="shared" ca="1" si="5"/>
        <v>#N/A</v>
      </c>
      <c r="R27" s="1260" t="e">
        <f t="shared" ca="1" si="5"/>
        <v>#N/A</v>
      </c>
      <c r="S27" s="1260" t="e">
        <f t="shared" ca="1" si="5"/>
        <v>#N/A</v>
      </c>
      <c r="T27" s="1260" t="e">
        <f t="shared" ca="1" si="5"/>
        <v>#N/A</v>
      </c>
      <c r="U27" s="1260" t="e">
        <f t="shared" ca="1" si="5"/>
        <v>#N/A</v>
      </c>
      <c r="V27" s="1260" t="e">
        <f t="shared" ca="1" si="5"/>
        <v>#N/A</v>
      </c>
      <c r="W27" s="1260" t="e">
        <f t="shared" ca="1" si="5"/>
        <v>#N/A</v>
      </c>
      <c r="X27" s="1260" t="e">
        <f t="shared" ca="1" si="5"/>
        <v>#N/A</v>
      </c>
      <c r="Y27" s="1260" t="e">
        <f t="shared" ca="1" si="5"/>
        <v>#N/A</v>
      </c>
      <c r="Z27" s="1260" t="e">
        <f t="shared" ca="1" si="5"/>
        <v>#N/A</v>
      </c>
      <c r="AA27" s="1311" t="e">
        <f ca="1">SUM(B27:Z27)</f>
        <v>#N/A</v>
      </c>
    </row>
    <row r="28" spans="1:27" ht="15" thickBot="1" x14ac:dyDescent="0.35">
      <c r="A28" s="1310" t="s">
        <v>1092</v>
      </c>
      <c r="B28" s="1260" t="e">
        <f t="shared" ref="B28:Z28" ca="1" si="6">B54*$C$35*$D$35</f>
        <v>#N/A</v>
      </c>
      <c r="C28" s="1255" t="e">
        <f t="shared" ca="1" si="6"/>
        <v>#N/A</v>
      </c>
      <c r="D28" s="1255" t="e">
        <f t="shared" ca="1" si="6"/>
        <v>#N/A</v>
      </c>
      <c r="E28" s="1255" t="e">
        <f t="shared" ca="1" si="6"/>
        <v>#N/A</v>
      </c>
      <c r="F28" s="1255" t="e">
        <f t="shared" ca="1" si="6"/>
        <v>#N/A</v>
      </c>
      <c r="G28" s="1255" t="e">
        <f t="shared" ca="1" si="6"/>
        <v>#N/A</v>
      </c>
      <c r="H28" s="1255" t="e">
        <f t="shared" ca="1" si="6"/>
        <v>#N/A</v>
      </c>
      <c r="I28" s="1255" t="e">
        <f t="shared" ca="1" si="6"/>
        <v>#N/A</v>
      </c>
      <c r="J28" s="1255" t="e">
        <f t="shared" ca="1" si="6"/>
        <v>#N/A</v>
      </c>
      <c r="K28" s="1255" t="e">
        <f t="shared" ca="1" si="6"/>
        <v>#N/A</v>
      </c>
      <c r="L28" s="1255" t="e">
        <f t="shared" ca="1" si="6"/>
        <v>#N/A</v>
      </c>
      <c r="M28" s="1255" t="e">
        <f t="shared" ca="1" si="6"/>
        <v>#N/A</v>
      </c>
      <c r="N28" s="1255" t="e">
        <f t="shared" ca="1" si="6"/>
        <v>#N/A</v>
      </c>
      <c r="O28" s="1255" t="e">
        <f t="shared" ca="1" si="6"/>
        <v>#N/A</v>
      </c>
      <c r="P28" s="1255" t="e">
        <f t="shared" ca="1" si="6"/>
        <v>#N/A</v>
      </c>
      <c r="Q28" s="1255" t="e">
        <f t="shared" ca="1" si="6"/>
        <v>#N/A</v>
      </c>
      <c r="R28" s="1255" t="e">
        <f t="shared" ca="1" si="6"/>
        <v>#N/A</v>
      </c>
      <c r="S28" s="1255" t="e">
        <f t="shared" ca="1" si="6"/>
        <v>#N/A</v>
      </c>
      <c r="T28" s="1255" t="e">
        <f t="shared" ca="1" si="6"/>
        <v>#N/A</v>
      </c>
      <c r="U28" s="1255" t="e">
        <f t="shared" ca="1" si="6"/>
        <v>#N/A</v>
      </c>
      <c r="V28" s="1255" t="e">
        <f t="shared" ca="1" si="6"/>
        <v>#N/A</v>
      </c>
      <c r="W28" s="1255" t="e">
        <f t="shared" ca="1" si="6"/>
        <v>#N/A</v>
      </c>
      <c r="X28" s="1255" t="e">
        <f t="shared" ca="1" si="6"/>
        <v>#N/A</v>
      </c>
      <c r="Y28" s="1255" t="e">
        <f t="shared" ca="1" si="6"/>
        <v>#N/A</v>
      </c>
      <c r="Z28" s="1255" t="e">
        <f t="shared" ca="1" si="6"/>
        <v>#N/A</v>
      </c>
      <c r="AA28" s="1309" t="e">
        <f ca="1">SUM(B28:Z28)</f>
        <v>#N/A</v>
      </c>
    </row>
    <row r="29" spans="1:27" ht="15" thickBot="1" x14ac:dyDescent="0.35">
      <c r="A29" s="1254" t="s">
        <v>1091</v>
      </c>
      <c r="B29" s="1307" t="e">
        <f t="shared" ref="B29:Z29" ca="1" si="7">SUM(B27:B28)</f>
        <v>#N/A</v>
      </c>
      <c r="C29" s="1307" t="e">
        <f t="shared" ca="1" si="7"/>
        <v>#N/A</v>
      </c>
      <c r="D29" s="1307" t="e">
        <f t="shared" ca="1" si="7"/>
        <v>#N/A</v>
      </c>
      <c r="E29" s="1307" t="e">
        <f t="shared" ca="1" si="7"/>
        <v>#N/A</v>
      </c>
      <c r="F29" s="1307" t="e">
        <f t="shared" ca="1" si="7"/>
        <v>#N/A</v>
      </c>
      <c r="G29" s="1307" t="e">
        <f t="shared" ca="1" si="7"/>
        <v>#N/A</v>
      </c>
      <c r="H29" s="1307" t="e">
        <f t="shared" ca="1" si="7"/>
        <v>#N/A</v>
      </c>
      <c r="I29" s="1307" t="e">
        <f t="shared" ca="1" si="7"/>
        <v>#N/A</v>
      </c>
      <c r="J29" s="1307" t="e">
        <f t="shared" ca="1" si="7"/>
        <v>#N/A</v>
      </c>
      <c r="K29" s="1307" t="e">
        <f t="shared" ca="1" si="7"/>
        <v>#N/A</v>
      </c>
      <c r="L29" s="1307" t="e">
        <f t="shared" ca="1" si="7"/>
        <v>#N/A</v>
      </c>
      <c r="M29" s="1307" t="e">
        <f t="shared" ca="1" si="7"/>
        <v>#N/A</v>
      </c>
      <c r="N29" s="1307" t="e">
        <f t="shared" ca="1" si="7"/>
        <v>#N/A</v>
      </c>
      <c r="O29" s="1307" t="e">
        <f t="shared" ca="1" si="7"/>
        <v>#N/A</v>
      </c>
      <c r="P29" s="1307" t="e">
        <f t="shared" ca="1" si="7"/>
        <v>#N/A</v>
      </c>
      <c r="Q29" s="1307" t="e">
        <f t="shared" ca="1" si="7"/>
        <v>#N/A</v>
      </c>
      <c r="R29" s="1307" t="e">
        <f t="shared" ca="1" si="7"/>
        <v>#N/A</v>
      </c>
      <c r="S29" s="1307" t="e">
        <f t="shared" ca="1" si="7"/>
        <v>#N/A</v>
      </c>
      <c r="T29" s="1307" t="e">
        <f t="shared" ca="1" si="7"/>
        <v>#N/A</v>
      </c>
      <c r="U29" s="1307" t="e">
        <f t="shared" ca="1" si="7"/>
        <v>#N/A</v>
      </c>
      <c r="V29" s="1307" t="e">
        <f t="shared" ca="1" si="7"/>
        <v>#N/A</v>
      </c>
      <c r="W29" s="1307" t="e">
        <f t="shared" ca="1" si="7"/>
        <v>#N/A</v>
      </c>
      <c r="X29" s="1307" t="e">
        <f t="shared" ca="1" si="7"/>
        <v>#N/A</v>
      </c>
      <c r="Y29" s="1307" t="e">
        <f t="shared" ca="1" si="7"/>
        <v>#N/A</v>
      </c>
      <c r="Z29" s="1307" t="e">
        <f t="shared" ca="1" si="7"/>
        <v>#N/A</v>
      </c>
      <c r="AA29" s="1251" t="e">
        <f ca="1">SUM(B29:Z29)</f>
        <v>#N/A</v>
      </c>
    </row>
    <row r="30" spans="1:27" x14ac:dyDescent="0.3">
      <c r="A30" s="1285"/>
      <c r="B30" s="1284"/>
      <c r="C30" s="1284"/>
      <c r="D30" s="1284"/>
      <c r="E30" s="1284"/>
      <c r="F30" s="1284"/>
      <c r="G30" s="1284"/>
      <c r="H30" s="1284"/>
      <c r="I30" s="1284"/>
      <c r="J30" s="1284"/>
      <c r="K30" s="1284"/>
      <c r="L30" s="1284"/>
      <c r="M30" s="1284"/>
      <c r="N30" s="1284"/>
      <c r="O30" s="1284"/>
      <c r="P30" s="1284"/>
      <c r="Q30" s="1284"/>
      <c r="R30" s="1284"/>
      <c r="S30" s="1284"/>
      <c r="T30" s="1284"/>
      <c r="U30" s="1284"/>
      <c r="V30" s="1284"/>
      <c r="W30" s="1284"/>
      <c r="X30" s="1284"/>
      <c r="Y30" s="1284"/>
      <c r="Z30" s="1284"/>
      <c r="AA30" s="174"/>
    </row>
    <row r="31" spans="1:27" ht="15" thickBot="1" x14ac:dyDescent="0.35">
      <c r="B31" s="1284"/>
      <c r="C31" s="1284"/>
      <c r="D31" s="1284"/>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c r="AA31" s="174"/>
    </row>
    <row r="32" spans="1:27" ht="43.8" thickBot="1" x14ac:dyDescent="0.35">
      <c r="A32" s="1308" t="s">
        <v>1153</v>
      </c>
      <c r="B32" s="1307" t="s">
        <v>1152</v>
      </c>
      <c r="C32" s="1306" t="s">
        <v>1151</v>
      </c>
      <c r="D32" s="1306" t="s">
        <v>1150</v>
      </c>
      <c r="E32" s="1305" t="s">
        <v>1149</v>
      </c>
      <c r="F32" s="1284"/>
      <c r="G32" s="1284"/>
      <c r="H32" s="1284"/>
      <c r="I32" s="1284"/>
      <c r="J32" s="1284"/>
      <c r="K32" s="1284"/>
      <c r="L32" s="1284"/>
      <c r="M32" s="1284"/>
      <c r="N32" s="1284"/>
      <c r="O32" s="1284"/>
      <c r="P32" s="1284"/>
      <c r="Q32" s="1284"/>
      <c r="R32" s="1284"/>
      <c r="S32" s="1284"/>
      <c r="T32" s="1284"/>
      <c r="U32" s="1284"/>
      <c r="V32" s="1284"/>
      <c r="W32" s="1284"/>
      <c r="X32" s="1284"/>
      <c r="Y32" s="1284"/>
      <c r="Z32" s="1284"/>
      <c r="AA32" s="174"/>
    </row>
    <row r="33" spans="1:27" ht="28.8" x14ac:dyDescent="0.3">
      <c r="A33" s="1304" t="s">
        <v>1148</v>
      </c>
      <c r="B33" s="1303" t="e">
        <f>('Estim. Ingresos'!$D12/12)*1000</f>
        <v>#N/A</v>
      </c>
      <c r="C33" s="1302">
        <v>1</v>
      </c>
      <c r="D33" s="1301">
        <f>'Hipóteses xerais (2)'!$C23*'Hipóteses xerais (2)'!$C$22/1000</f>
        <v>0.1</v>
      </c>
      <c r="E33" s="1300" t="e">
        <f>B33*C33*D33</f>
        <v>#N/A</v>
      </c>
      <c r="F33" s="1284"/>
      <c r="G33" s="1284"/>
      <c r="H33" s="1284"/>
      <c r="I33" s="1284"/>
      <c r="J33" s="1284"/>
      <c r="K33" s="1284"/>
      <c r="L33" s="1284"/>
      <c r="M33" s="1284"/>
      <c r="N33" s="1284"/>
      <c r="O33" s="1284"/>
      <c r="P33" s="1284"/>
      <c r="Q33" s="1284"/>
      <c r="R33" s="1284"/>
      <c r="S33" s="1284"/>
      <c r="T33" s="1284"/>
      <c r="U33" s="1284"/>
      <c r="V33" s="1284"/>
      <c r="W33" s="1284"/>
      <c r="X33" s="1284"/>
      <c r="Y33" s="1284"/>
      <c r="Z33" s="1284"/>
      <c r="AA33" s="174"/>
    </row>
    <row r="34" spans="1:27" ht="28.8" x14ac:dyDescent="0.3">
      <c r="A34" s="1299" t="s">
        <v>1147</v>
      </c>
      <c r="B34" s="1298" t="e">
        <f>('Estim. Ingresos'!$D13/12)*1000</f>
        <v>#N/A</v>
      </c>
      <c r="C34" s="1297" t="e">
        <f>'Hipóteses xerais (2)'!$C$29</f>
        <v>#N/A</v>
      </c>
      <c r="D34" s="1296">
        <f>'Hipóteses xerais (2)'!$C24*'Hipóteses xerais (2)'!$C$22/1000</f>
        <v>0.05</v>
      </c>
      <c r="E34" s="1295" t="e">
        <f>B34*C34*D34</f>
        <v>#N/A</v>
      </c>
      <c r="F34" s="1284"/>
      <c r="G34" s="1284"/>
      <c r="H34" s="1284"/>
      <c r="I34" s="1284"/>
      <c r="J34" s="1284"/>
      <c r="K34" s="1284"/>
      <c r="L34" s="1284"/>
      <c r="M34" s="1284"/>
      <c r="N34" s="1284"/>
      <c r="O34" s="1284"/>
      <c r="P34" s="1284"/>
      <c r="Q34" s="1284"/>
      <c r="R34" s="1284"/>
      <c r="S34" s="1284"/>
      <c r="T34" s="1284"/>
      <c r="U34" s="1284"/>
      <c r="V34" s="1284"/>
      <c r="W34" s="1284"/>
      <c r="X34" s="1284"/>
      <c r="Y34" s="1284"/>
      <c r="Z34" s="1284"/>
      <c r="AA34" s="174"/>
    </row>
    <row r="35" spans="1:27" ht="29.4" thickBot="1" x14ac:dyDescent="0.35">
      <c r="A35" s="1294" t="s">
        <v>1146</v>
      </c>
      <c r="B35" s="1293" t="e">
        <f>('Estim. Ingresos'!$D14/12)*1000</f>
        <v>#N/A</v>
      </c>
      <c r="C35" s="1292">
        <v>1</v>
      </c>
      <c r="D35" s="1291">
        <f>'Hipóteses xerais (2)'!$C25*'Hipóteses xerais (2)'!$C$22/1000</f>
        <v>7.4999999999999997E-2</v>
      </c>
      <c r="E35" s="1290" t="e">
        <f>B35*C35*D35</f>
        <v>#N/A</v>
      </c>
      <c r="F35" s="1284"/>
      <c r="G35" s="1284"/>
      <c r="H35" s="1284"/>
      <c r="I35" s="1284"/>
      <c r="J35" s="1284"/>
      <c r="K35" s="1284"/>
      <c r="L35" s="1284"/>
      <c r="M35" s="1284"/>
      <c r="N35" s="1284"/>
      <c r="O35" s="1284"/>
      <c r="P35" s="1284"/>
      <c r="Q35" s="1284"/>
      <c r="R35" s="1284"/>
      <c r="S35" s="1284"/>
      <c r="T35" s="1284"/>
      <c r="U35" s="1284"/>
      <c r="V35" s="1284"/>
      <c r="W35" s="1284"/>
      <c r="X35" s="1284"/>
      <c r="Y35" s="1284"/>
      <c r="Z35" s="1284"/>
      <c r="AA35" s="174"/>
    </row>
    <row r="36" spans="1:27" ht="15" thickBot="1" x14ac:dyDescent="0.35">
      <c r="A36" s="1289" t="s">
        <v>1145</v>
      </c>
      <c r="B36" s="1288" t="e">
        <f>SUM(B33:B35)</f>
        <v>#N/A</v>
      </c>
      <c r="C36" s="1287"/>
      <c r="D36" s="1287"/>
      <c r="E36" s="1286">
        <v>1023.93</v>
      </c>
      <c r="F36" s="1284"/>
      <c r="G36" s="1284"/>
      <c r="H36" s="1284"/>
      <c r="I36" s="1284"/>
      <c r="J36" s="1284"/>
      <c r="K36" s="1284"/>
      <c r="L36" s="1284"/>
      <c r="M36" s="1284"/>
      <c r="N36" s="1284"/>
      <c r="O36" s="1284"/>
      <c r="P36" s="1284"/>
      <c r="Q36" s="1284"/>
      <c r="R36" s="1284"/>
      <c r="S36" s="1284"/>
      <c r="T36" s="1284"/>
      <c r="U36" s="1284"/>
      <c r="V36" s="1284"/>
      <c r="W36" s="1284"/>
      <c r="X36" s="1284"/>
      <c r="Y36" s="1284"/>
      <c r="Z36" s="1284"/>
      <c r="AA36" s="174"/>
    </row>
    <row r="37" spans="1:27" x14ac:dyDescent="0.3">
      <c r="A37" s="1285"/>
      <c r="B37" s="1284"/>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74"/>
    </row>
    <row r="38" spans="1:27" x14ac:dyDescent="0.3">
      <c r="A38" s="1285"/>
      <c r="B38" s="1284"/>
      <c r="C38" s="1284"/>
      <c r="D38" s="1284"/>
      <c r="E38" s="1284"/>
      <c r="F38" s="1284"/>
      <c r="G38" s="1284"/>
      <c r="H38" s="1284"/>
      <c r="I38" s="1284"/>
      <c r="J38" s="1284"/>
      <c r="K38" s="1284"/>
      <c r="L38" s="1284"/>
      <c r="M38" s="1284"/>
      <c r="N38" s="1284"/>
      <c r="O38" s="1284"/>
      <c r="P38" s="1284"/>
      <c r="Q38" s="1284"/>
      <c r="R38" s="1284"/>
      <c r="S38" s="1284"/>
      <c r="T38" s="1284"/>
      <c r="U38" s="1284"/>
      <c r="V38" s="1284"/>
      <c r="W38" s="1284"/>
      <c r="X38" s="1284"/>
      <c r="Y38" s="1284"/>
      <c r="Z38" s="1284"/>
      <c r="AA38" s="174"/>
    </row>
    <row r="39" spans="1:27" x14ac:dyDescent="0.3">
      <c r="A39" s="1285"/>
      <c r="B39" s="1284"/>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74"/>
    </row>
    <row r="40" spans="1:27" x14ac:dyDescent="0.3">
      <c r="A40" s="1285"/>
      <c r="B40" s="1284"/>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74"/>
    </row>
    <row r="41" spans="1:27" x14ac:dyDescent="0.3">
      <c r="A41" s="1285"/>
      <c r="B41" s="1284"/>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74"/>
    </row>
    <row r="42" spans="1:27" x14ac:dyDescent="0.3">
      <c r="A42" s="1285"/>
      <c r="B42" s="1284"/>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74"/>
    </row>
    <row r="43" spans="1:27" x14ac:dyDescent="0.3">
      <c r="A43" s="1285"/>
      <c r="B43" s="1284"/>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4"/>
      <c r="AA43" s="174"/>
    </row>
    <row r="44" spans="1:27" x14ac:dyDescent="0.3">
      <c r="B44" s="389"/>
      <c r="C44" s="38"/>
    </row>
    <row r="45" spans="1:27" ht="15" thickBot="1" x14ac:dyDescent="0.35">
      <c r="B45" s="389"/>
      <c r="C45" s="38"/>
    </row>
    <row r="46" spans="1:27" ht="15" hidden="1" thickBot="1" x14ac:dyDescent="0.35">
      <c r="A46" s="1098" t="s">
        <v>1111</v>
      </c>
      <c r="B46" s="1283">
        <f>'Datos CE e Socios'!$B9*1000*(1/12)*'Datos Socios'!$F$17</f>
        <v>1840.0625</v>
      </c>
      <c r="C46" s="1283">
        <f>'Datos CE e Socios'!$B9*1000*(1/12)*'Datos Socios'!$F$17</f>
        <v>1840.0625</v>
      </c>
      <c r="D46" s="1283">
        <f>'Datos CE e Socios'!$B9*1000*(1/12)*'Datos Socios'!$F$17</f>
        <v>1840.0625</v>
      </c>
      <c r="E46" s="1283">
        <f>'Datos CE e Socios'!$B9*1000*(1/12)*'Datos Socios'!$F$17</f>
        <v>1840.0625</v>
      </c>
      <c r="F46" s="1283">
        <f>'Datos CE e Socios'!$B9*1000*(1/12)*'Datos Socios'!$F$17</f>
        <v>1840.0625</v>
      </c>
      <c r="G46" s="1283">
        <f>'Datos CE e Socios'!$B9*1000*(1/12)*'Datos Socios'!$F$17</f>
        <v>1840.0625</v>
      </c>
      <c r="H46" s="1283">
        <f>'Datos CE e Socios'!$B9*1000*(1/12)*'Datos Socios'!$F$17</f>
        <v>1840.0625</v>
      </c>
      <c r="I46" s="1283">
        <f>'Datos CE e Socios'!$B9*1000*(1/12)*'Datos Socios'!$F$17</f>
        <v>1840.0625</v>
      </c>
      <c r="J46" s="1283">
        <f>'Datos CE e Socios'!$B9*1000*(1/12)*'Datos Socios'!$F$17</f>
        <v>1840.0625</v>
      </c>
      <c r="K46" s="1283">
        <f>'Datos CE e Socios'!$B9*1000*(1/12)*'Datos Socios'!$F$17</f>
        <v>1840.0625</v>
      </c>
      <c r="L46" s="1283">
        <f>'Datos CE e Socios'!$B9*1000*(1/12)*'Datos Socios'!$F$17</f>
        <v>1840.0625</v>
      </c>
      <c r="M46" s="1283">
        <f>'Datos CE e Socios'!$B9*1000*(1/12)*'Datos Socios'!$F$17</f>
        <v>1840.0625</v>
      </c>
      <c r="N46" s="1283">
        <f>'Datos CE e Socios'!$B9*1000*(1/12)*'Datos Socios'!$F$17</f>
        <v>1840.0625</v>
      </c>
      <c r="O46" s="1283">
        <f>'Datos CE e Socios'!$B9*1000*(1/12)*'Datos Socios'!$F$17</f>
        <v>1840.0625</v>
      </c>
      <c r="P46" s="1283">
        <f>'Datos CE e Socios'!$B9*1000*(1/12)*'Datos Socios'!$F$17</f>
        <v>1840.0625</v>
      </c>
      <c r="Q46" s="1283">
        <f>'Datos CE e Socios'!$B9*1000*(1/12)*'Datos Socios'!$F$17</f>
        <v>1840.0625</v>
      </c>
      <c r="R46" s="1283">
        <f>'Datos CE e Socios'!$B9*1000*(1/12)*'Datos Socios'!$F$17</f>
        <v>1840.0625</v>
      </c>
      <c r="S46" s="1283">
        <f>'Datos CE e Socios'!$B9*1000*(1/12)*'Datos Socios'!$F$17</f>
        <v>1840.0625</v>
      </c>
      <c r="T46" s="1283">
        <f>'Datos CE e Socios'!$B9*1000*(1/12)*'Datos Socios'!$F$17</f>
        <v>1840.0625</v>
      </c>
      <c r="U46" s="1283">
        <f>'Datos CE e Socios'!$B9*1000*(1/12)*'Datos Socios'!$F$17</f>
        <v>1840.0625</v>
      </c>
      <c r="V46" s="1283">
        <f>'Datos CE e Socios'!$B9*1000*(1/12)*'Datos Socios'!$F$17</f>
        <v>1840.0625</v>
      </c>
      <c r="W46" s="1283">
        <f>'Datos CE e Socios'!$B9*1000*(1/12)*'Datos Socios'!$F$17</f>
        <v>1840.0625</v>
      </c>
      <c r="X46" s="1283">
        <f>'Datos CE e Socios'!$B9*1000*(1/12)*'Datos Socios'!$F$17</f>
        <v>1840.0625</v>
      </c>
      <c r="Y46" s="1283">
        <f>'Datos CE e Socios'!$B9*1000*(1/12)*'Datos Socios'!$F$17</f>
        <v>1840.0625</v>
      </c>
      <c r="Z46" s="1283">
        <f>'Datos CE e Socios'!$B9*1000*(1/12)*'Datos Socios'!$F$17</f>
        <v>1840.0625</v>
      </c>
      <c r="AA46" s="1282">
        <f>'Datos CE e Socios'!$B9*1000*(1/12)</f>
        <v>3680.125</v>
      </c>
    </row>
    <row r="47" spans="1:27" ht="15" hidden="1" thickBot="1" x14ac:dyDescent="0.35">
      <c r="A47" s="1098" t="s">
        <v>1110</v>
      </c>
      <c r="B47" s="1283">
        <f>'Datos CE e Socios'!$B10*1000*(1/12)*'Datos Socios'!$F$17</f>
        <v>1840.0625</v>
      </c>
      <c r="C47" s="1283">
        <f>'Datos CE e Socios'!$B10*1000*(1/12)*'Datos Socios'!$F$17</f>
        <v>1840.0625</v>
      </c>
      <c r="D47" s="1283">
        <f>'Datos CE e Socios'!$B10*1000*(1/12)*'Datos Socios'!$F$17</f>
        <v>1840.0625</v>
      </c>
      <c r="E47" s="1283">
        <f>'Datos CE e Socios'!$B10*1000*(1/12)*'Datos Socios'!$F$17</f>
        <v>1840.0625</v>
      </c>
      <c r="F47" s="1283">
        <f>'Datos CE e Socios'!$B10*1000*(1/12)*'Datos Socios'!$F$17</f>
        <v>1840.0625</v>
      </c>
      <c r="G47" s="1283">
        <f>'Datos CE e Socios'!$B10*1000*(1/12)*'Datos Socios'!$F$17</f>
        <v>1840.0625</v>
      </c>
      <c r="H47" s="1283">
        <f>'Datos CE e Socios'!$B10*1000*(1/12)*'Datos Socios'!$F$17</f>
        <v>1840.0625</v>
      </c>
      <c r="I47" s="1283">
        <f>'Datos CE e Socios'!$B10*1000*(1/12)*'Datos Socios'!$F$17</f>
        <v>1840.0625</v>
      </c>
      <c r="J47" s="1283">
        <f>'Datos CE e Socios'!$B10*1000*(1/12)*'Datos Socios'!$F$17</f>
        <v>1840.0625</v>
      </c>
      <c r="K47" s="1283">
        <f>'Datos CE e Socios'!$B10*1000*(1/12)*'Datos Socios'!$F$17</f>
        <v>1840.0625</v>
      </c>
      <c r="L47" s="1283">
        <f>'Datos CE e Socios'!$B10*1000*(1/12)*'Datos Socios'!$F$17</f>
        <v>1840.0625</v>
      </c>
      <c r="M47" s="1283">
        <f>'Datos CE e Socios'!$B10*1000*(1/12)*'Datos Socios'!$F$17</f>
        <v>1840.0625</v>
      </c>
      <c r="N47" s="1283">
        <f>'Datos CE e Socios'!$B10*1000*(1/12)*'Datos Socios'!$F$17</f>
        <v>1840.0625</v>
      </c>
      <c r="O47" s="1283">
        <f>'Datos CE e Socios'!$B10*1000*(1/12)*'Datos Socios'!$F$17</f>
        <v>1840.0625</v>
      </c>
      <c r="P47" s="1283">
        <f>'Datos CE e Socios'!$B10*1000*(1/12)*'Datos Socios'!$F$17</f>
        <v>1840.0625</v>
      </c>
      <c r="Q47" s="1283">
        <f>'Datos CE e Socios'!$B10*1000*(1/12)*'Datos Socios'!$F$17</f>
        <v>1840.0625</v>
      </c>
      <c r="R47" s="1283">
        <f>'Datos CE e Socios'!$B10*1000*(1/12)*'Datos Socios'!$F$17</f>
        <v>1840.0625</v>
      </c>
      <c r="S47" s="1283">
        <f>'Datos CE e Socios'!$B10*1000*(1/12)*'Datos Socios'!$F$17</f>
        <v>1840.0625</v>
      </c>
      <c r="T47" s="1283">
        <f>'Datos CE e Socios'!$B10*1000*(1/12)*'Datos Socios'!$F$17</f>
        <v>1840.0625</v>
      </c>
      <c r="U47" s="1283">
        <f>'Datos CE e Socios'!$B10*1000*(1/12)*'Datos Socios'!$F$17</f>
        <v>1840.0625</v>
      </c>
      <c r="V47" s="1283">
        <f>'Datos CE e Socios'!$B10*1000*(1/12)*'Datos Socios'!$F$17</f>
        <v>1840.0625</v>
      </c>
      <c r="W47" s="1283">
        <f>'Datos CE e Socios'!$B10*1000*(1/12)*'Datos Socios'!$F$17</f>
        <v>1840.0625</v>
      </c>
      <c r="X47" s="1283">
        <f>'Datos CE e Socios'!$B10*1000*(1/12)*'Datos Socios'!$F$17</f>
        <v>1840.0625</v>
      </c>
      <c r="Y47" s="1283">
        <f>'Datos CE e Socios'!$B10*1000*(1/12)*'Datos Socios'!$F$17</f>
        <v>1840.0625</v>
      </c>
      <c r="Z47" s="1283">
        <f>'Datos CE e Socios'!$B10*1000*(1/12)*'Datos Socios'!$F$17</f>
        <v>1840.0625</v>
      </c>
      <c r="AA47" s="1282">
        <f>'Datos CE e Socios'!$B10*1000*(1/12)</f>
        <v>3680.125</v>
      </c>
    </row>
    <row r="48" spans="1:27" ht="15" hidden="1" thickBot="1" x14ac:dyDescent="0.35">
      <c r="A48" s="1098" t="s">
        <v>1109</v>
      </c>
      <c r="B48" s="1283">
        <f>'Datos CE e Socios'!$B11*1000*(1/12)*'Datos Socios'!$F$17</f>
        <v>0</v>
      </c>
      <c r="C48" s="1283">
        <f>'Datos CE e Socios'!$B11*1000*(1/12)*'Datos Socios'!$F$17</f>
        <v>0</v>
      </c>
      <c r="D48" s="1283">
        <f>'Datos CE e Socios'!$B11*1000*(1/12)*'Datos Socios'!$F$17</f>
        <v>0</v>
      </c>
      <c r="E48" s="1283">
        <f>'Datos CE e Socios'!$B11*1000*(1/12)*'Datos Socios'!$F$17</f>
        <v>0</v>
      </c>
      <c r="F48" s="1283">
        <f>'Datos CE e Socios'!$B11*1000*(1/12)*'Datos Socios'!$F$17</f>
        <v>0</v>
      </c>
      <c r="G48" s="1283">
        <f>'Datos CE e Socios'!$B11*1000*(1/12)*'Datos Socios'!$F$17</f>
        <v>0</v>
      </c>
      <c r="H48" s="1283">
        <f>'Datos CE e Socios'!$B11*1000*(1/12)*'Datos Socios'!$F$17</f>
        <v>0</v>
      </c>
      <c r="I48" s="1283">
        <f>'Datos CE e Socios'!$B11*1000*(1/12)*'Datos Socios'!$F$17</f>
        <v>0</v>
      </c>
      <c r="J48" s="1283">
        <f>'Datos CE e Socios'!$B11*1000*(1/12)*'Datos Socios'!$F$17</f>
        <v>0</v>
      </c>
      <c r="K48" s="1283">
        <f>'Datos CE e Socios'!$B11*1000*(1/12)*'Datos Socios'!$F$17</f>
        <v>0</v>
      </c>
      <c r="L48" s="1283">
        <f>'Datos CE e Socios'!$B11*1000*(1/12)*'Datos Socios'!$F$17</f>
        <v>0</v>
      </c>
      <c r="M48" s="1283">
        <f>'Datos CE e Socios'!$B11*1000*(1/12)*'Datos Socios'!$F$17</f>
        <v>0</v>
      </c>
      <c r="N48" s="1283">
        <f>'Datos CE e Socios'!$B11*1000*(1/12)*'Datos Socios'!$F$17</f>
        <v>0</v>
      </c>
      <c r="O48" s="1283">
        <f>'Datos CE e Socios'!$B11*1000*(1/12)*'Datos Socios'!$F$17</f>
        <v>0</v>
      </c>
      <c r="P48" s="1283">
        <f>'Datos CE e Socios'!$B11*1000*(1/12)*'Datos Socios'!$F$17</f>
        <v>0</v>
      </c>
      <c r="Q48" s="1283">
        <f>'Datos CE e Socios'!$B11*1000*(1/12)*'Datos Socios'!$F$17</f>
        <v>0</v>
      </c>
      <c r="R48" s="1283">
        <f>'Datos CE e Socios'!$B11*1000*(1/12)*'Datos Socios'!$F$17</f>
        <v>0</v>
      </c>
      <c r="S48" s="1283">
        <f>'Datos CE e Socios'!$B11*1000*(1/12)*'Datos Socios'!$F$17</f>
        <v>0</v>
      </c>
      <c r="T48" s="1283">
        <f>'Datos CE e Socios'!$B11*1000*(1/12)*'Datos Socios'!$F$17</f>
        <v>0</v>
      </c>
      <c r="U48" s="1283">
        <f>'Datos CE e Socios'!$B11*1000*(1/12)*'Datos Socios'!$F$17</f>
        <v>0</v>
      </c>
      <c r="V48" s="1283">
        <f>'Datos CE e Socios'!$B11*1000*(1/12)*'Datos Socios'!$F$17</f>
        <v>0</v>
      </c>
      <c r="W48" s="1283">
        <f>'Datos CE e Socios'!$B11*1000*(1/12)*'Datos Socios'!$F$17</f>
        <v>0</v>
      </c>
      <c r="X48" s="1283">
        <f>'Datos CE e Socios'!$B11*1000*(1/12)*'Datos Socios'!$F$17</f>
        <v>0</v>
      </c>
      <c r="Y48" s="1283">
        <f>'Datos CE e Socios'!$B11*1000*(1/12)*'Datos Socios'!$F$17</f>
        <v>0</v>
      </c>
      <c r="Z48" s="1283">
        <f>'Datos CE e Socios'!$B11*1000*(1/12)*'Datos Socios'!$F$17</f>
        <v>0</v>
      </c>
      <c r="AA48" s="1282">
        <f>'Datos CE e Socios'!$B11*1000*(1/12)</f>
        <v>0</v>
      </c>
    </row>
    <row r="49" spans="1:28" ht="15" hidden="1" thickBot="1" x14ac:dyDescent="0.35">
      <c r="A49" s="1098" t="s">
        <v>1144</v>
      </c>
      <c r="B49" s="1265">
        <f t="shared" ref="B49:AA49" si="8">SUM(B46:B48)</f>
        <v>3680.125</v>
      </c>
      <c r="C49" s="1262">
        <f t="shared" si="8"/>
        <v>3680.125</v>
      </c>
      <c r="D49" s="1262">
        <f t="shared" si="8"/>
        <v>3680.125</v>
      </c>
      <c r="E49" s="1262">
        <f t="shared" si="8"/>
        <v>3680.125</v>
      </c>
      <c r="F49" s="1262">
        <f t="shared" si="8"/>
        <v>3680.125</v>
      </c>
      <c r="G49" s="1262">
        <f t="shared" si="8"/>
        <v>3680.125</v>
      </c>
      <c r="H49" s="1262">
        <f t="shared" si="8"/>
        <v>3680.125</v>
      </c>
      <c r="I49" s="1262">
        <f t="shared" si="8"/>
        <v>3680.125</v>
      </c>
      <c r="J49" s="1262">
        <f t="shared" si="8"/>
        <v>3680.125</v>
      </c>
      <c r="K49" s="1262">
        <f t="shared" si="8"/>
        <v>3680.125</v>
      </c>
      <c r="L49" s="1262">
        <f t="shared" si="8"/>
        <v>3680.125</v>
      </c>
      <c r="M49" s="1262">
        <f t="shared" si="8"/>
        <v>3680.125</v>
      </c>
      <c r="N49" s="1262">
        <f t="shared" si="8"/>
        <v>3680.125</v>
      </c>
      <c r="O49" s="1262">
        <f t="shared" si="8"/>
        <v>3680.125</v>
      </c>
      <c r="P49" s="1262">
        <f t="shared" si="8"/>
        <v>3680.125</v>
      </c>
      <c r="Q49" s="1262">
        <f t="shared" si="8"/>
        <v>3680.125</v>
      </c>
      <c r="R49" s="1262">
        <f t="shared" si="8"/>
        <v>3680.125</v>
      </c>
      <c r="S49" s="1262">
        <f t="shared" si="8"/>
        <v>3680.125</v>
      </c>
      <c r="T49" s="1262">
        <f t="shared" si="8"/>
        <v>3680.125</v>
      </c>
      <c r="U49" s="1262">
        <f t="shared" si="8"/>
        <v>3680.125</v>
      </c>
      <c r="V49" s="1262">
        <f t="shared" si="8"/>
        <v>3680.125</v>
      </c>
      <c r="W49" s="1262">
        <f t="shared" si="8"/>
        <v>3680.125</v>
      </c>
      <c r="X49" s="1262">
        <f t="shared" si="8"/>
        <v>3680.125</v>
      </c>
      <c r="Y49" s="1262">
        <f t="shared" si="8"/>
        <v>3680.125</v>
      </c>
      <c r="Z49" s="1281">
        <f t="shared" si="8"/>
        <v>3680.125</v>
      </c>
      <c r="AA49" s="1280">
        <f t="shared" si="8"/>
        <v>7360.25</v>
      </c>
    </row>
    <row r="50" spans="1:28" ht="15" thickBot="1" x14ac:dyDescent="0.35">
      <c r="AB50" s="1279" t="s">
        <v>1143</v>
      </c>
    </row>
    <row r="51" spans="1:28" ht="15" thickBot="1" x14ac:dyDescent="0.35">
      <c r="A51" s="633" t="s">
        <v>1104</v>
      </c>
      <c r="B51" s="952">
        <f ca="1">(INDEX('Datos Socios'!$B$2:$B$27,'Factura Socios Con CE'!B2))</f>
        <v>438</v>
      </c>
      <c r="C51" s="633">
        <f ca="1">(INDEX('Datos Socios'!$B$2:$B$27,'Factura Socios Con CE'!C2))</f>
        <v>88</v>
      </c>
      <c r="D51" s="633">
        <f ca="1">(INDEX('Datos Socios'!$B$2:$B$27,'Factura Socios Con CE'!D2))</f>
        <v>513</v>
      </c>
      <c r="E51" s="633">
        <f ca="1">(INDEX('Datos Socios'!$B$2:$B$27,'Factura Socios Con CE'!E2))</f>
        <v>392</v>
      </c>
      <c r="F51" s="633">
        <f ca="1">(INDEX('Datos Socios'!$B$2:$B$27,'Factura Socios Con CE'!F2))</f>
        <v>367</v>
      </c>
      <c r="G51" s="633">
        <f ca="1">(INDEX('Datos Socios'!$B$2:$B$27,'Factura Socios Con CE'!G2))</f>
        <v>372</v>
      </c>
      <c r="H51" s="633">
        <f ca="1">(INDEX('Datos Socios'!$B$2:$B$27,'Factura Socios Con CE'!H2))</f>
        <v>251</v>
      </c>
      <c r="I51" s="633">
        <f ca="1">(INDEX('Datos Socios'!$B$2:$B$27,'Factura Socios Con CE'!I2))</f>
        <v>384</v>
      </c>
      <c r="J51" s="633">
        <f ca="1">(INDEX('Datos Socios'!$B$2:$B$27,'Factura Socios Con CE'!J2))</f>
        <v>112</v>
      </c>
      <c r="K51" s="633">
        <f ca="1">(INDEX('Datos Socios'!$B$2:$B$27,'Factura Socios Con CE'!K2))</f>
        <v>344</v>
      </c>
      <c r="L51" s="633">
        <f ca="1">(INDEX('Datos Socios'!$B$2:$B$27,'Factura Socios Con CE'!L2))</f>
        <v>119</v>
      </c>
      <c r="M51" s="633">
        <f ca="1">(INDEX('Datos Socios'!$B$2:$B$27,'Factura Socios Con CE'!M2))</f>
        <v>476</v>
      </c>
      <c r="N51" s="633">
        <f ca="1">(INDEX('Datos Socios'!$B$2:$B$27,'Factura Socios Con CE'!N2))</f>
        <v>400</v>
      </c>
      <c r="O51" s="633">
        <f ca="1">(INDEX('Datos Socios'!$B$2:$B$27,'Factura Socios Con CE'!O2))</f>
        <v>503</v>
      </c>
      <c r="P51" s="633">
        <f ca="1">(INDEX('Datos Socios'!$B$2:$B$27,'Factura Socios Con CE'!P2))</f>
        <v>134</v>
      </c>
      <c r="Q51" s="633">
        <f ca="1">(INDEX('Datos Socios'!$B$2:$B$27,'Factura Socios Con CE'!Q2))</f>
        <v>234</v>
      </c>
      <c r="R51" s="633">
        <f ca="1">(INDEX('Datos Socios'!$B$2:$B$27,'Factura Socios Con CE'!R2))</f>
        <v>142</v>
      </c>
      <c r="S51" s="633">
        <f ca="1">(INDEX('Datos Socios'!$B$2:$B$27,'Factura Socios Con CE'!S2))</f>
        <v>278</v>
      </c>
      <c r="T51" s="633">
        <f ca="1">(INDEX('Datos Socios'!$B$2:$B$27,'Factura Socios Con CE'!T2))</f>
        <v>514</v>
      </c>
      <c r="U51" s="633">
        <f ca="1">(INDEX('Datos Socios'!$B$2:$B$27,'Factura Socios Con CE'!U2))</f>
        <v>413</v>
      </c>
      <c r="V51" s="633">
        <f ca="1">(INDEX('Datos Socios'!$B$2:$B$27,'Factura Socios Con CE'!V2))</f>
        <v>167</v>
      </c>
      <c r="W51" s="633">
        <f ca="1">(INDEX('Datos Socios'!$B$2:$B$27,'Factura Socios Con CE'!W2))</f>
        <v>254</v>
      </c>
      <c r="X51" s="633">
        <f ca="1">(INDEX('Datos Socios'!$B$2:$B$27,'Factura Socios Con CE'!X2))</f>
        <v>100</v>
      </c>
      <c r="Y51" s="633">
        <f ca="1">(INDEX('Datos Socios'!$B$2:$B$27,'Factura Socios Con CE'!Y2))</f>
        <v>363</v>
      </c>
      <c r="Z51" s="956">
        <f ca="1">(INDEX('Datos Socios'!$B$2:$B$27,'Factura Socios Con CE'!Z2))</f>
        <v>388</v>
      </c>
      <c r="AA51" s="1278">
        <f t="shared" ref="AA51:AA56" ca="1" si="9">SUM(B51:Z51)</f>
        <v>7746</v>
      </c>
      <c r="AB51" s="1277"/>
    </row>
    <row r="52" spans="1:28" x14ac:dyDescent="0.3">
      <c r="A52" t="s">
        <v>1103</v>
      </c>
      <c r="B52" s="1276" t="e">
        <f ca="1">B$55*'Hipóteses xerais (2)'!$C26</f>
        <v>#N/A</v>
      </c>
      <c r="C52" s="1276" t="e">
        <f ca="1">C$55*'Hipóteses xerais (2)'!$C26</f>
        <v>#N/A</v>
      </c>
      <c r="D52" s="1174" t="e">
        <f ca="1">D$55*'Hipóteses xerais (2)'!$C26</f>
        <v>#N/A</v>
      </c>
      <c r="E52" s="1174" t="e">
        <f ca="1">E$55*'Hipóteses xerais (2)'!$C26</f>
        <v>#N/A</v>
      </c>
      <c r="F52" s="1174" t="e">
        <f ca="1">F$55*'Hipóteses xerais (2)'!$C26</f>
        <v>#N/A</v>
      </c>
      <c r="G52" s="1174" t="e">
        <f ca="1">G$55*'Hipóteses xerais (2)'!$C26</f>
        <v>#N/A</v>
      </c>
      <c r="H52" s="1174" t="e">
        <f ca="1">H$55*'Hipóteses xerais (2)'!$C26</f>
        <v>#N/A</v>
      </c>
      <c r="I52" s="1174" t="e">
        <f ca="1">I$55*'Hipóteses xerais (2)'!$C26</f>
        <v>#N/A</v>
      </c>
      <c r="J52" s="1174" t="e">
        <f ca="1">J$55*'Hipóteses xerais (2)'!$C26</f>
        <v>#N/A</v>
      </c>
      <c r="K52" s="1174" t="e">
        <f ca="1">K$55*'Hipóteses xerais (2)'!$C26</f>
        <v>#N/A</v>
      </c>
      <c r="L52" s="1174" t="e">
        <f ca="1">L$55*'Hipóteses xerais (2)'!$C26</f>
        <v>#N/A</v>
      </c>
      <c r="M52" s="1174" t="e">
        <f ca="1">M$55*'Hipóteses xerais (2)'!$C26</f>
        <v>#N/A</v>
      </c>
      <c r="N52" s="1174" t="e">
        <f ca="1">N$55*'Hipóteses xerais (2)'!$C26</f>
        <v>#N/A</v>
      </c>
      <c r="O52" s="1174" t="e">
        <f ca="1">O$55*'Hipóteses xerais (2)'!$C26</f>
        <v>#N/A</v>
      </c>
      <c r="P52" s="1174" t="e">
        <f ca="1">P$55*'Hipóteses xerais (2)'!$C26</f>
        <v>#N/A</v>
      </c>
      <c r="Q52" s="1174" t="e">
        <f ca="1">Q$55*'Hipóteses xerais (2)'!$C26</f>
        <v>#N/A</v>
      </c>
      <c r="R52" s="1174" t="e">
        <f ca="1">R$55*'Hipóteses xerais (2)'!$C26</f>
        <v>#N/A</v>
      </c>
      <c r="S52" s="1174" t="e">
        <f ca="1">S$55*'Hipóteses xerais (2)'!$C26</f>
        <v>#N/A</v>
      </c>
      <c r="T52" s="1174" t="e">
        <f ca="1">T$55*'Hipóteses xerais (2)'!$C26</f>
        <v>#N/A</v>
      </c>
      <c r="U52" s="1174" t="e">
        <f ca="1">U$55*'Hipóteses xerais (2)'!$C26</f>
        <v>#N/A</v>
      </c>
      <c r="V52" s="1174" t="e">
        <f ca="1">V$55*'Hipóteses xerais (2)'!$C26</f>
        <v>#N/A</v>
      </c>
      <c r="W52" s="1174" t="e">
        <f ca="1">W$55*'Hipóteses xerais (2)'!$C26</f>
        <v>#N/A</v>
      </c>
      <c r="X52" s="1174" t="e">
        <f ca="1">X$55*'Hipóteses xerais (2)'!$C26</f>
        <v>#N/A</v>
      </c>
      <c r="Y52" s="1174" t="e">
        <f ca="1">Y$55*'Hipóteses xerais (2)'!$C26</f>
        <v>#N/A</v>
      </c>
      <c r="Z52" s="1174" t="e">
        <f ca="1">Z$55*'Hipóteses xerais (2)'!$C26</f>
        <v>#N/A</v>
      </c>
      <c r="AA52" s="1174" t="e">
        <f t="shared" ca="1" si="9"/>
        <v>#N/A</v>
      </c>
      <c r="AB52" s="1275" t="e">
        <f>B33</f>
        <v>#N/A</v>
      </c>
    </row>
    <row r="53" spans="1:28" x14ac:dyDescent="0.3">
      <c r="A53" t="s">
        <v>1102</v>
      </c>
      <c r="B53" s="1276" t="e">
        <f ca="1">B$55*'Hipóteses xerais (2)'!$C27</f>
        <v>#N/A</v>
      </c>
      <c r="C53" s="1276" t="e">
        <f ca="1">C$55*'Hipóteses xerais (2)'!$C27</f>
        <v>#N/A</v>
      </c>
      <c r="D53" s="1174" t="e">
        <f ca="1">D$55*'Hipóteses xerais (2)'!$C27</f>
        <v>#N/A</v>
      </c>
      <c r="E53" s="1174" t="e">
        <f ca="1">E$55*'Hipóteses xerais (2)'!$C27</f>
        <v>#N/A</v>
      </c>
      <c r="F53" s="1174" t="e">
        <f ca="1">F$55*'Hipóteses xerais (2)'!$C27</f>
        <v>#N/A</v>
      </c>
      <c r="G53" s="1174" t="e">
        <f ca="1">G$55*'Hipóteses xerais (2)'!$C27</f>
        <v>#N/A</v>
      </c>
      <c r="H53" s="1174" t="e">
        <f ca="1">H$55*'Hipóteses xerais (2)'!$C27</f>
        <v>#N/A</v>
      </c>
      <c r="I53" s="1174" t="e">
        <f ca="1">I$55*'Hipóteses xerais (2)'!$C27</f>
        <v>#N/A</v>
      </c>
      <c r="J53" s="1174" t="e">
        <f ca="1">J$55*'Hipóteses xerais (2)'!$C27</f>
        <v>#N/A</v>
      </c>
      <c r="K53" s="1174" t="e">
        <f ca="1">K$55*'Hipóteses xerais (2)'!$C27</f>
        <v>#N/A</v>
      </c>
      <c r="L53" s="1174" t="e">
        <f ca="1">L$55*'Hipóteses xerais (2)'!$C27</f>
        <v>#N/A</v>
      </c>
      <c r="M53" s="1174" t="e">
        <f ca="1">M$55*'Hipóteses xerais (2)'!$C27</f>
        <v>#N/A</v>
      </c>
      <c r="N53" s="1174" t="e">
        <f ca="1">N$55*'Hipóteses xerais (2)'!$C27</f>
        <v>#N/A</v>
      </c>
      <c r="O53" s="1174" t="e">
        <f ca="1">O$55*'Hipóteses xerais (2)'!$C27</f>
        <v>#N/A</v>
      </c>
      <c r="P53" s="1174" t="e">
        <f ca="1">P$55*'Hipóteses xerais (2)'!$C27</f>
        <v>#N/A</v>
      </c>
      <c r="Q53" s="1174" t="e">
        <f ca="1">Q$55*'Hipóteses xerais (2)'!$C27</f>
        <v>#N/A</v>
      </c>
      <c r="R53" s="1174" t="e">
        <f ca="1">R$55*'Hipóteses xerais (2)'!$C27</f>
        <v>#N/A</v>
      </c>
      <c r="S53" s="1174" t="e">
        <f ca="1">S$55*'Hipóteses xerais (2)'!$C27</f>
        <v>#N/A</v>
      </c>
      <c r="T53" s="1174" t="e">
        <f ca="1">T$55*'Hipóteses xerais (2)'!$C27</f>
        <v>#N/A</v>
      </c>
      <c r="U53" s="1174" t="e">
        <f ca="1">U$55*'Hipóteses xerais (2)'!$C27</f>
        <v>#N/A</v>
      </c>
      <c r="V53" s="1174" t="e">
        <f ca="1">V$55*'Hipóteses xerais (2)'!$C27</f>
        <v>#N/A</v>
      </c>
      <c r="W53" s="1174" t="e">
        <f ca="1">W$55*'Hipóteses xerais (2)'!$C27</f>
        <v>#N/A</v>
      </c>
      <c r="X53" s="1174" t="e">
        <f ca="1">X$55*'Hipóteses xerais (2)'!$C27</f>
        <v>#N/A</v>
      </c>
      <c r="Y53" s="1174" t="e">
        <f ca="1">Y$55*'Hipóteses xerais (2)'!$C27</f>
        <v>#N/A</v>
      </c>
      <c r="Z53" s="1174" t="e">
        <f ca="1">Z$55*'Hipóteses xerais (2)'!$C27</f>
        <v>#N/A</v>
      </c>
      <c r="AA53" s="1174" t="e">
        <f t="shared" ca="1" si="9"/>
        <v>#N/A</v>
      </c>
      <c r="AB53" s="1275" t="e">
        <f>B34</f>
        <v>#N/A</v>
      </c>
    </row>
    <row r="54" spans="1:28" x14ac:dyDescent="0.3">
      <c r="A54" t="s">
        <v>1101</v>
      </c>
      <c r="B54" s="1276" t="e">
        <f ca="1">B$55*'Hipóteses xerais (2)'!$C28</f>
        <v>#N/A</v>
      </c>
      <c r="C54" s="1276" t="e">
        <f ca="1">C$55*'Hipóteses xerais (2)'!$C28</f>
        <v>#N/A</v>
      </c>
      <c r="D54" s="1174" t="e">
        <f ca="1">D$55*'Hipóteses xerais (2)'!$C28</f>
        <v>#N/A</v>
      </c>
      <c r="E54" s="1174" t="e">
        <f ca="1">E$55*'Hipóteses xerais (2)'!$C28</f>
        <v>#N/A</v>
      </c>
      <c r="F54" s="1174" t="e">
        <f ca="1">F$55*'Hipóteses xerais (2)'!$C28</f>
        <v>#N/A</v>
      </c>
      <c r="G54" s="1174" t="e">
        <f ca="1">G$55*'Hipóteses xerais (2)'!$C28</f>
        <v>#N/A</v>
      </c>
      <c r="H54" s="1174" t="e">
        <f ca="1">H$55*'Hipóteses xerais (2)'!$C28</f>
        <v>#N/A</v>
      </c>
      <c r="I54" s="1174" t="e">
        <f ca="1">I$55*'Hipóteses xerais (2)'!$C28</f>
        <v>#N/A</v>
      </c>
      <c r="J54" s="1174" t="e">
        <f ca="1">J$55*'Hipóteses xerais (2)'!$C28</f>
        <v>#N/A</v>
      </c>
      <c r="K54" s="1174" t="e">
        <f ca="1">K$55*'Hipóteses xerais (2)'!$C28</f>
        <v>#N/A</v>
      </c>
      <c r="L54" s="1174" t="e">
        <f ca="1">L$55*'Hipóteses xerais (2)'!$C28</f>
        <v>#N/A</v>
      </c>
      <c r="M54" s="1174" t="e">
        <f ca="1">M$55*'Hipóteses xerais (2)'!$C28</f>
        <v>#N/A</v>
      </c>
      <c r="N54" s="1174" t="e">
        <f ca="1">N$55*'Hipóteses xerais (2)'!$C28</f>
        <v>#N/A</v>
      </c>
      <c r="O54" s="1174" t="e">
        <f ca="1">O$55*'Hipóteses xerais (2)'!$C28</f>
        <v>#N/A</v>
      </c>
      <c r="P54" s="1174" t="e">
        <f ca="1">P$55*'Hipóteses xerais (2)'!$C28</f>
        <v>#N/A</v>
      </c>
      <c r="Q54" s="1174" t="e">
        <f ca="1">Q$55*'Hipóteses xerais (2)'!$C28</f>
        <v>#N/A</v>
      </c>
      <c r="R54" s="1174" t="e">
        <f ca="1">R$55*'Hipóteses xerais (2)'!$C28</f>
        <v>#N/A</v>
      </c>
      <c r="S54" s="1174" t="e">
        <f ca="1">S$55*'Hipóteses xerais (2)'!$C28</f>
        <v>#N/A</v>
      </c>
      <c r="T54" s="1174" t="e">
        <f ca="1">T$55*'Hipóteses xerais (2)'!$C28</f>
        <v>#N/A</v>
      </c>
      <c r="U54" s="1174" t="e">
        <f ca="1">U$55*'Hipóteses xerais (2)'!$C28</f>
        <v>#N/A</v>
      </c>
      <c r="V54" s="1174" t="e">
        <f ca="1">V$55*'Hipóteses xerais (2)'!$C28</f>
        <v>#N/A</v>
      </c>
      <c r="W54" s="1174" t="e">
        <f ca="1">W$55*'Hipóteses xerais (2)'!$C28</f>
        <v>#N/A</v>
      </c>
      <c r="X54" s="1174" t="e">
        <f ca="1">X$55*'Hipóteses xerais (2)'!$C28</f>
        <v>#N/A</v>
      </c>
      <c r="Y54" s="1174" t="e">
        <f ca="1">Y$55*'Hipóteses xerais (2)'!$C28</f>
        <v>#N/A</v>
      </c>
      <c r="Z54" s="1174" t="e">
        <f ca="1">Z$55*'Hipóteses xerais (2)'!$C28</f>
        <v>#N/A</v>
      </c>
      <c r="AA54" s="1174" t="e">
        <f t="shared" ca="1" si="9"/>
        <v>#N/A</v>
      </c>
      <c r="AB54" s="1275" t="e">
        <f>B35</f>
        <v>#N/A</v>
      </c>
    </row>
    <row r="55" spans="1:28" ht="15" thickBot="1" x14ac:dyDescent="0.35">
      <c r="A55" s="1274" t="s">
        <v>1142</v>
      </c>
      <c r="B55" s="1273">
        <f ca="1">'Hipóteses xerais (2)'!$C$70*B51</f>
        <v>438</v>
      </c>
      <c r="C55" s="1273">
        <f ca="1">'Hipóteses xerais (2)'!$C$70*C51</f>
        <v>88</v>
      </c>
      <c r="D55" s="1273">
        <f ca="1">'Hipóteses xerais (2)'!$C$70*D51</f>
        <v>513</v>
      </c>
      <c r="E55" s="1273">
        <f ca="1">'Hipóteses xerais (2)'!$C$70*E51</f>
        <v>392</v>
      </c>
      <c r="F55" s="1273">
        <f ca="1">'Hipóteses xerais (2)'!$C$70*F51</f>
        <v>367</v>
      </c>
      <c r="G55" s="1273">
        <f ca="1">'Hipóteses xerais (2)'!$C$70*G51</f>
        <v>372</v>
      </c>
      <c r="H55" s="1273">
        <f ca="1">'Hipóteses xerais (2)'!$C$70*H51</f>
        <v>251</v>
      </c>
      <c r="I55" s="1273">
        <f ca="1">'Hipóteses xerais (2)'!$C$70*I51</f>
        <v>384</v>
      </c>
      <c r="J55" s="1273">
        <f ca="1">'Hipóteses xerais (2)'!$C$70*J51</f>
        <v>112</v>
      </c>
      <c r="K55" s="1273">
        <f ca="1">'Hipóteses xerais (2)'!$C$70*K51</f>
        <v>344</v>
      </c>
      <c r="L55" s="1273">
        <f ca="1">'Hipóteses xerais (2)'!$C$70*L51</f>
        <v>119</v>
      </c>
      <c r="M55" s="1273">
        <f ca="1">'Hipóteses xerais (2)'!$C$70*M51</f>
        <v>476</v>
      </c>
      <c r="N55" s="1273">
        <f ca="1">'Hipóteses xerais (2)'!$C$70*N51</f>
        <v>400</v>
      </c>
      <c r="O55" s="1273">
        <f ca="1">'Hipóteses xerais (2)'!$C$70*O51</f>
        <v>503</v>
      </c>
      <c r="P55" s="1273">
        <f ca="1">'Hipóteses xerais (2)'!$C$70*P51</f>
        <v>134</v>
      </c>
      <c r="Q55" s="1273">
        <f ca="1">'Hipóteses xerais (2)'!$C$70*Q51</f>
        <v>234</v>
      </c>
      <c r="R55" s="1273">
        <f ca="1">'Hipóteses xerais (2)'!$C$70*R51</f>
        <v>142</v>
      </c>
      <c r="S55" s="1273">
        <f ca="1">'Hipóteses xerais (2)'!$C$70*S51</f>
        <v>278</v>
      </c>
      <c r="T55" s="1273">
        <f ca="1">'Hipóteses xerais (2)'!$C$70*T51</f>
        <v>514</v>
      </c>
      <c r="U55" s="1273">
        <f ca="1">'Hipóteses xerais (2)'!$C$70*U51</f>
        <v>413</v>
      </c>
      <c r="V55" s="1273">
        <f ca="1">'Hipóteses xerais (2)'!$C$70*V51</f>
        <v>167</v>
      </c>
      <c r="W55" s="1273">
        <f ca="1">'Hipóteses xerais (2)'!$C$70*W51</f>
        <v>254</v>
      </c>
      <c r="X55" s="1273">
        <f ca="1">'Hipóteses xerais (2)'!$C$70*X51</f>
        <v>100</v>
      </c>
      <c r="Y55" s="1273">
        <f ca="1">'Hipóteses xerais (2)'!$C$70*Y51</f>
        <v>363</v>
      </c>
      <c r="Z55" s="1273">
        <f ca="1">'Hipóteses xerais (2)'!$C$70*Z51</f>
        <v>388</v>
      </c>
      <c r="AA55" s="1273">
        <f t="shared" ca="1" si="9"/>
        <v>7746</v>
      </c>
      <c r="AB55" s="1272" t="e">
        <f>SUM(AB52:AB54)</f>
        <v>#N/A</v>
      </c>
    </row>
    <row r="56" spans="1:28" ht="28.8" x14ac:dyDescent="0.3">
      <c r="A56" s="1271" t="s">
        <v>1141</v>
      </c>
      <c r="B56" s="1270" t="e">
        <f ca="1">'Hipóteses xerais (2)'!$C$29*B53</f>
        <v>#N/A</v>
      </c>
      <c r="C56" s="1269" t="e">
        <f ca="1">'Hipóteses xerais (2)'!$C$29*C53</f>
        <v>#N/A</v>
      </c>
      <c r="D56" s="1269" t="e">
        <f ca="1">'Hipóteses xerais (2)'!$C$29*D53</f>
        <v>#N/A</v>
      </c>
      <c r="E56" s="1269" t="e">
        <f ca="1">'Hipóteses xerais (2)'!$C$29*E53</f>
        <v>#N/A</v>
      </c>
      <c r="F56" s="1269" t="e">
        <f ca="1">'Hipóteses xerais (2)'!$C$29*F53</f>
        <v>#N/A</v>
      </c>
      <c r="G56" s="1269" t="e">
        <f ca="1">'Hipóteses xerais (2)'!$C$29*G53</f>
        <v>#N/A</v>
      </c>
      <c r="H56" s="1269" t="e">
        <f ca="1">'Hipóteses xerais (2)'!$C$29*H53</f>
        <v>#N/A</v>
      </c>
      <c r="I56" s="1269" t="e">
        <f ca="1">'Hipóteses xerais (2)'!$C$29*I53</f>
        <v>#N/A</v>
      </c>
      <c r="J56" s="1269" t="e">
        <f ca="1">'Hipóteses xerais (2)'!$C$29*J53</f>
        <v>#N/A</v>
      </c>
      <c r="K56" s="1269" t="e">
        <f ca="1">'Hipóteses xerais (2)'!$C$29*K53</f>
        <v>#N/A</v>
      </c>
      <c r="L56" s="1269" t="e">
        <f ca="1">'Hipóteses xerais (2)'!$C$29*L53</f>
        <v>#N/A</v>
      </c>
      <c r="M56" s="1269" t="e">
        <f ca="1">'Hipóteses xerais (2)'!$C$29*M53</f>
        <v>#N/A</v>
      </c>
      <c r="N56" s="1269" t="e">
        <f ca="1">'Hipóteses xerais (2)'!$C$29*N53</f>
        <v>#N/A</v>
      </c>
      <c r="O56" s="1269" t="e">
        <f ca="1">'Hipóteses xerais (2)'!$C$29*O53</f>
        <v>#N/A</v>
      </c>
      <c r="P56" s="1269" t="e">
        <f ca="1">'Hipóteses xerais (2)'!$C$29*P53</f>
        <v>#N/A</v>
      </c>
      <c r="Q56" s="1269" t="e">
        <f ca="1">'Hipóteses xerais (2)'!$C$29*Q53</f>
        <v>#N/A</v>
      </c>
      <c r="R56" s="1269" t="e">
        <f ca="1">'Hipóteses xerais (2)'!$C$29*R53</f>
        <v>#N/A</v>
      </c>
      <c r="S56" s="1269" t="e">
        <f ca="1">'Hipóteses xerais (2)'!$C$29*S53</f>
        <v>#N/A</v>
      </c>
      <c r="T56" s="1269" t="e">
        <f ca="1">'Hipóteses xerais (2)'!$C$29*T53</f>
        <v>#N/A</v>
      </c>
      <c r="U56" s="1269" t="e">
        <f ca="1">'Hipóteses xerais (2)'!$C$29*U53</f>
        <v>#N/A</v>
      </c>
      <c r="V56" s="1269" t="e">
        <f ca="1">'Hipóteses xerais (2)'!$C$29*V53</f>
        <v>#N/A</v>
      </c>
      <c r="W56" s="1269" t="e">
        <f ca="1">'Hipóteses xerais (2)'!$C$29*W53</f>
        <v>#N/A</v>
      </c>
      <c r="X56" s="1269" t="e">
        <f ca="1">'Hipóteses xerais (2)'!$C$29*X53</f>
        <v>#N/A</v>
      </c>
      <c r="Y56" s="1269" t="e">
        <f ca="1">'Hipóteses xerais (2)'!$C$29*Y53</f>
        <v>#N/A</v>
      </c>
      <c r="Z56" s="1268" t="e">
        <f ca="1">'Hipóteses xerais (2)'!$C$29*Z53</f>
        <v>#N/A</v>
      </c>
      <c r="AA56" s="1267" t="e">
        <f t="shared" ca="1" si="9"/>
        <v>#N/A</v>
      </c>
    </row>
    <row r="57" spans="1:28" ht="28.8" x14ac:dyDescent="0.3">
      <c r="A57" s="641" t="s">
        <v>1140</v>
      </c>
      <c r="B57" s="1266" t="e">
        <f ca="1">(1-'Hipóteses xerais (2)'!$C$29)*B53</f>
        <v>#N/A</v>
      </c>
      <c r="C57" s="1166" t="e">
        <f ca="1">(1-'Hipóteses xerais (2)'!$C$29)*C53</f>
        <v>#N/A</v>
      </c>
      <c r="D57" s="1166" t="e">
        <f ca="1">(1-'Hipóteses xerais (2)'!$C$29)*D53</f>
        <v>#N/A</v>
      </c>
      <c r="E57" s="1166" t="e">
        <f ca="1">(1-'Hipóteses xerais (2)'!$C$29)*E53</f>
        <v>#N/A</v>
      </c>
      <c r="F57" s="1166" t="e">
        <f ca="1">(1-'Hipóteses xerais (2)'!$C$29)*F53</f>
        <v>#N/A</v>
      </c>
      <c r="G57" s="1166" t="e">
        <f ca="1">(1-'Hipóteses xerais (2)'!$C$29)*G53</f>
        <v>#N/A</v>
      </c>
      <c r="H57" s="1166" t="e">
        <f ca="1">(1-'Hipóteses xerais (2)'!$C$29)*H53</f>
        <v>#N/A</v>
      </c>
      <c r="I57" s="1166" t="e">
        <f ca="1">(1-'Hipóteses xerais (2)'!$C$29)*I53</f>
        <v>#N/A</v>
      </c>
      <c r="J57" s="1166" t="e">
        <f ca="1">(1-'Hipóteses xerais (2)'!$C$29)*J53</f>
        <v>#N/A</v>
      </c>
      <c r="K57" s="1166" t="e">
        <f ca="1">(1-'Hipóteses xerais (2)'!$C$29)*K53</f>
        <v>#N/A</v>
      </c>
      <c r="L57" s="1166" t="e">
        <f ca="1">(1-'Hipóteses xerais (2)'!$C$29)*L53</f>
        <v>#N/A</v>
      </c>
      <c r="M57" s="1166" t="e">
        <f ca="1">(1-'Hipóteses xerais (2)'!$C$29)*M53</f>
        <v>#N/A</v>
      </c>
      <c r="N57" s="1166" t="e">
        <f ca="1">(1-'Hipóteses xerais (2)'!$C$29)*N53</f>
        <v>#N/A</v>
      </c>
      <c r="O57" s="1166" t="e">
        <f ca="1">(1-'Hipóteses xerais (2)'!$C$29)*O53</f>
        <v>#N/A</v>
      </c>
      <c r="P57" s="1166" t="e">
        <f ca="1">(1-'Hipóteses xerais (2)'!$C$29)*P53</f>
        <v>#N/A</v>
      </c>
      <c r="Q57" s="1166" t="e">
        <f ca="1">(1-'Hipóteses xerais (2)'!$C$29)*Q53</f>
        <v>#N/A</v>
      </c>
      <c r="R57" s="1166" t="e">
        <f ca="1">(1-'Hipóteses xerais (2)'!$C$29)*R53</f>
        <v>#N/A</v>
      </c>
      <c r="S57" s="1166" t="e">
        <f ca="1">(1-'Hipóteses xerais (2)'!$C$29)*S53</f>
        <v>#N/A</v>
      </c>
      <c r="T57" s="1166" t="e">
        <f ca="1">(1-'Hipóteses xerais (2)'!$C$29)*T53</f>
        <v>#N/A</v>
      </c>
      <c r="U57" s="1166" t="e">
        <f ca="1">(1-'Hipóteses xerais (2)'!$C$29)*U53</f>
        <v>#N/A</v>
      </c>
      <c r="V57" s="1166" t="e">
        <f ca="1">(1-'Hipóteses xerais (2)'!$C$29)*V53</f>
        <v>#N/A</v>
      </c>
      <c r="W57" s="1166" t="e">
        <f ca="1">(1-'Hipóteses xerais (2)'!$C$29)*W53</f>
        <v>#N/A</v>
      </c>
      <c r="X57" s="1166" t="e">
        <f ca="1">(1-'Hipóteses xerais (2)'!$C$29)*X53</f>
        <v>#N/A</v>
      </c>
      <c r="Y57" s="1166" t="e">
        <f ca="1">(1-'Hipóteses xerais (2)'!$C$29)*Y53</f>
        <v>#N/A</v>
      </c>
      <c r="Z57" s="1165" t="e">
        <f ca="1">(1-'Hipóteses xerais (2)'!$C$29)*Z53</f>
        <v>#N/A</v>
      </c>
    </row>
    <row r="58" spans="1:28" x14ac:dyDescent="0.3">
      <c r="A58" s="1098" t="s">
        <v>1139</v>
      </c>
      <c r="B58" s="1265" t="e">
        <f ca="1">((1-('Hipóteses xerais (2)'!$C$70*'Hipóteses xerais (2)'!$C$26))*(INDEX('Datos Socios'!$B$2:$B$27,'Factura Socios Sen CE'!B2)))</f>
        <v>#N/A</v>
      </c>
      <c r="C58" s="1265" t="e">
        <f ca="1">((1-('Hipóteses xerais (2)'!$C$70*'Hipóteses xerais (2)'!$C$26))*(INDEX('Datos Socios'!$B$2:$B$27,'Factura Socios Sen CE'!C2)))</f>
        <v>#N/A</v>
      </c>
      <c r="D58" s="1265" t="e">
        <f ca="1">((1-('Hipóteses xerais (2)'!$C$70*'Hipóteses xerais (2)'!$C$26))*(INDEX('Datos Socios'!$B$2:$B$27,'Factura Socios Sen CE'!D2)))</f>
        <v>#N/A</v>
      </c>
      <c r="E58" s="1265" t="e">
        <f ca="1">((1-('Hipóteses xerais (2)'!$C$70*'Hipóteses xerais (2)'!$C$26))*(INDEX('Datos Socios'!$B$2:$B$27,'Factura Socios Sen CE'!E2)))</f>
        <v>#N/A</v>
      </c>
      <c r="F58" s="1265" t="e">
        <f ca="1">((1-('Hipóteses xerais (2)'!$C$70*'Hipóteses xerais (2)'!$C$26))*(INDEX('Datos Socios'!$B$2:$B$27,'Factura Socios Sen CE'!F2)))</f>
        <v>#N/A</v>
      </c>
      <c r="G58" s="1265" t="e">
        <f ca="1">((1-('Hipóteses xerais (2)'!$C$70*'Hipóteses xerais (2)'!$C$26))*(INDEX('Datos Socios'!$B$2:$B$27,'Factura Socios Sen CE'!G2)))</f>
        <v>#N/A</v>
      </c>
      <c r="H58" s="1265" t="e">
        <f ca="1">((1-('Hipóteses xerais (2)'!$C$70*'Hipóteses xerais (2)'!$C$26))*(INDEX('Datos Socios'!$B$2:$B$27,'Factura Socios Sen CE'!H2)))</f>
        <v>#N/A</v>
      </c>
      <c r="I58" s="1265" t="e">
        <f ca="1">((1-('Hipóteses xerais (2)'!$C$70*'Hipóteses xerais (2)'!$C$26))*(INDEX('Datos Socios'!$B$2:$B$27,'Factura Socios Sen CE'!I2)))</f>
        <v>#N/A</v>
      </c>
      <c r="J58" s="1265" t="e">
        <f ca="1">((1-('Hipóteses xerais (2)'!$C$70*'Hipóteses xerais (2)'!$C$26))*(INDEX('Datos Socios'!$B$2:$B$27,'Factura Socios Sen CE'!J2)))</f>
        <v>#N/A</v>
      </c>
      <c r="K58" s="1265" t="e">
        <f ca="1">((1-('Hipóteses xerais (2)'!$C$70*'Hipóteses xerais (2)'!$C$26))*(INDEX('Datos Socios'!$B$2:$B$27,'Factura Socios Sen CE'!K2)))</f>
        <v>#N/A</v>
      </c>
      <c r="L58" s="1265" t="e">
        <f ca="1">((1-('Hipóteses xerais (2)'!$C$70*'Hipóteses xerais (2)'!$C$26))*(INDEX('Datos Socios'!$B$2:$B$27,'Factura Socios Sen CE'!L2)))</f>
        <v>#N/A</v>
      </c>
      <c r="M58" s="1265" t="e">
        <f ca="1">((1-('Hipóteses xerais (2)'!$C$70*'Hipóteses xerais (2)'!$C$26))*(INDEX('Datos Socios'!$B$2:$B$27,'Factura Socios Sen CE'!M2)))</f>
        <v>#N/A</v>
      </c>
      <c r="N58" s="1265" t="e">
        <f ca="1">((1-('Hipóteses xerais (2)'!$C$70*'Hipóteses xerais (2)'!$C$26))*(INDEX('Datos Socios'!$B$2:$B$27,'Factura Socios Sen CE'!N2)))</f>
        <v>#N/A</v>
      </c>
      <c r="O58" s="1265" t="e">
        <f ca="1">((1-('Hipóteses xerais (2)'!$C$70*'Hipóteses xerais (2)'!$C$26))*(INDEX('Datos Socios'!$B$2:$B$27,'Factura Socios Sen CE'!O2)))</f>
        <v>#N/A</v>
      </c>
      <c r="P58" s="1265" t="e">
        <f ca="1">((1-('Hipóteses xerais (2)'!$C$70*'Hipóteses xerais (2)'!$C$26))*(INDEX('Datos Socios'!$B$2:$B$27,'Factura Socios Sen CE'!P2)))</f>
        <v>#N/A</v>
      </c>
      <c r="Q58" s="1265" t="e">
        <f ca="1">((1-('Hipóteses xerais (2)'!$C$70*'Hipóteses xerais (2)'!$C$26))*(INDEX('Datos Socios'!$B$2:$B$27,'Factura Socios Sen CE'!Q2)))</f>
        <v>#N/A</v>
      </c>
      <c r="R58" s="1265" t="e">
        <f ca="1">((1-('Hipóteses xerais (2)'!$C$70*'Hipóteses xerais (2)'!$C$26))*(INDEX('Datos Socios'!$B$2:$B$27,'Factura Socios Sen CE'!R2)))</f>
        <v>#N/A</v>
      </c>
      <c r="S58" s="1265" t="e">
        <f ca="1">((1-('Hipóteses xerais (2)'!$C$70*'Hipóteses xerais (2)'!$C$26))*(INDEX('Datos Socios'!$B$2:$B$27,'Factura Socios Sen CE'!S2)))</f>
        <v>#N/A</v>
      </c>
      <c r="T58" s="1265" t="e">
        <f ca="1">((1-('Hipóteses xerais (2)'!$C$70*'Hipóteses xerais (2)'!$C$26))*(INDEX('Datos Socios'!$B$2:$B$27,'Factura Socios Sen CE'!T2)))</f>
        <v>#N/A</v>
      </c>
      <c r="U58" s="1265" t="e">
        <f ca="1">((1-('Hipóteses xerais (2)'!$C$70*'Hipóteses xerais (2)'!$C$26))*(INDEX('Datos Socios'!$B$2:$B$27,'Factura Socios Sen CE'!U2)))</f>
        <v>#N/A</v>
      </c>
      <c r="V58" s="1265" t="e">
        <f ca="1">((1-('Hipóteses xerais (2)'!$C$70*'Hipóteses xerais (2)'!$C$26))*(INDEX('Datos Socios'!$B$2:$B$27,'Factura Socios Sen CE'!V2)))</f>
        <v>#N/A</v>
      </c>
      <c r="W58" s="1265" t="e">
        <f ca="1">((1-('Hipóteses xerais (2)'!$C$70*'Hipóteses xerais (2)'!$C$26))*(INDEX('Datos Socios'!$B$2:$B$27,'Factura Socios Sen CE'!W2)))</f>
        <v>#N/A</v>
      </c>
      <c r="X58" s="1265" t="e">
        <f ca="1">((1-('Hipóteses xerais (2)'!$C$70*'Hipóteses xerais (2)'!$C$26))*(INDEX('Datos Socios'!$B$2:$B$27,'Factura Socios Sen CE'!X2)))</f>
        <v>#N/A</v>
      </c>
      <c r="Y58" s="1265" t="e">
        <f ca="1">((1-('Hipóteses xerais (2)'!$C$70*'Hipóteses xerais (2)'!$C$26))*(INDEX('Datos Socios'!$B$2:$B$27,'Factura Socios Sen CE'!Y2)))</f>
        <v>#N/A</v>
      </c>
      <c r="Z58" s="1265" t="e">
        <f ca="1">((1-('Hipóteses xerais (2)'!$C$70*'Hipóteses xerais (2)'!$C$26))*(INDEX('Datos Socios'!$B$2:$B$27,'Factura Socios Sen CE'!Z2)))</f>
        <v>#N/A</v>
      </c>
      <c r="AA58" s="931" t="e">
        <f ca="1">SUM(B58:Z58)</f>
        <v>#N/A</v>
      </c>
    </row>
    <row r="61" spans="1:28" ht="28.8" x14ac:dyDescent="0.3">
      <c r="A61" s="891" t="s">
        <v>1138</v>
      </c>
      <c r="B61" s="1264" t="e">
        <f ca="1">IF(B62&lt;0,"Erro", "O.K.")</f>
        <v>#N/A</v>
      </c>
      <c r="C61" s="1263"/>
    </row>
    <row r="62" spans="1:28" x14ac:dyDescent="0.3">
      <c r="A62" s="895" t="s">
        <v>1137</v>
      </c>
      <c r="B62" s="1262" t="e">
        <f ca="1">('Hipóteses xerais (2)'!$C$35*1000/12)-AA55</f>
        <v>#N/A</v>
      </c>
      <c r="C62" s="1082" t="s">
        <v>1095</v>
      </c>
    </row>
  </sheetData>
  <pageMargins left="0.7" right="0.7" top="0.75" bottom="0.75" header="0.3" footer="0.3"/>
  <pageSetup paperSize="9" orientation="portrait"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7DBE-3F86-4E10-85A8-214826910516}">
  <dimension ref="A1:AA26"/>
  <sheetViews>
    <sheetView topLeftCell="A10" workbookViewId="0">
      <selection activeCell="F72" sqref="F72:AD72"/>
    </sheetView>
  </sheetViews>
  <sheetFormatPr baseColWidth="10" defaultColWidth="11.5546875" defaultRowHeight="14.4" x14ac:dyDescent="0.3"/>
  <cols>
    <col min="1" max="1" width="53.44140625" bestFit="1" customWidth="1"/>
    <col min="2" max="2" width="12.109375" bestFit="1" customWidth="1"/>
    <col min="3" max="3" width="13.88671875" customWidth="1"/>
    <col min="27" max="27" width="11.44140625" bestFit="1" customWidth="1"/>
  </cols>
  <sheetData>
    <row r="1" spans="1:27" x14ac:dyDescent="0.3">
      <c r="B1" s="169" t="s">
        <v>1136</v>
      </c>
      <c r="C1" s="1261"/>
    </row>
    <row r="2" spans="1:27" ht="43.2" x14ac:dyDescent="0.3">
      <c r="B2" s="389">
        <v>1</v>
      </c>
      <c r="C2" s="389">
        <v>2</v>
      </c>
      <c r="D2" s="389">
        <v>3</v>
      </c>
      <c r="E2" s="389">
        <v>4</v>
      </c>
      <c r="F2" s="389">
        <v>5</v>
      </c>
      <c r="G2" s="389">
        <v>6</v>
      </c>
      <c r="H2" s="389">
        <v>7</v>
      </c>
      <c r="I2" s="389">
        <v>8</v>
      </c>
      <c r="J2" s="389">
        <v>9</v>
      </c>
      <c r="K2" s="389">
        <v>10</v>
      </c>
      <c r="L2" s="389">
        <v>11</v>
      </c>
      <c r="M2" s="389">
        <v>12</v>
      </c>
      <c r="N2" s="389">
        <v>13</v>
      </c>
      <c r="O2" s="389">
        <v>14</v>
      </c>
      <c r="P2" s="389">
        <v>15</v>
      </c>
      <c r="Q2" s="389">
        <v>16</v>
      </c>
      <c r="R2" s="389">
        <v>17</v>
      </c>
      <c r="S2" s="389">
        <v>18</v>
      </c>
      <c r="T2" s="389">
        <v>19</v>
      </c>
      <c r="U2" s="389">
        <v>20</v>
      </c>
      <c r="V2" s="389">
        <v>21</v>
      </c>
      <c r="W2" s="389">
        <v>22</v>
      </c>
      <c r="X2" s="389">
        <v>23</v>
      </c>
      <c r="Y2" s="389">
        <v>24</v>
      </c>
      <c r="Z2" s="389">
        <v>25</v>
      </c>
      <c r="AA2" s="389" t="s">
        <v>1128</v>
      </c>
    </row>
    <row r="3" spans="1:27" x14ac:dyDescent="0.3">
      <c r="A3" s="411" t="s">
        <v>571</v>
      </c>
      <c r="B3" s="1260">
        <f>'Simulac. Factura Indiv. Sen CE'!$B$3*(365/12)*'Datos Custos Factura Eléctrica'!$B$3</f>
        <v>10.037500000000001</v>
      </c>
      <c r="C3" s="1260">
        <f>'Simulac. Factura Indiv. Sen CE'!$B$3*(365/12)*'Datos Custos Factura Eléctrica'!$B$3</f>
        <v>10.037500000000001</v>
      </c>
      <c r="D3" s="1260">
        <f>'Simulac. Factura Indiv. Sen CE'!$B$3*(365/12)*'Datos Custos Factura Eléctrica'!$B$3</f>
        <v>10.037500000000001</v>
      </c>
      <c r="E3" s="1260">
        <f>'Simulac. Factura Indiv. Sen CE'!$B$3*(365/12)*'Datos Custos Factura Eléctrica'!$B$3</f>
        <v>10.037500000000001</v>
      </c>
      <c r="F3" s="1260">
        <f>'Simulac. Factura Indiv. Sen CE'!$B$3*(365/12)*'Datos Custos Factura Eléctrica'!$B$3</f>
        <v>10.037500000000001</v>
      </c>
      <c r="G3" s="1260">
        <f>'Simulac. Factura Indiv. Sen CE'!$B$3*(365/12)*'Datos Custos Factura Eléctrica'!$B$3</f>
        <v>10.037500000000001</v>
      </c>
      <c r="H3" s="1260">
        <f>'Simulac. Factura Indiv. Sen CE'!$B$3*(365/12)*'Datos Custos Factura Eléctrica'!$B$3</f>
        <v>10.037500000000001</v>
      </c>
      <c r="I3" s="1260">
        <f>'Simulac. Factura Indiv. Sen CE'!$B$3*(365/12)*'Datos Custos Factura Eléctrica'!$B$3</f>
        <v>10.037500000000001</v>
      </c>
      <c r="J3" s="1260">
        <f>'Simulac. Factura Indiv. Sen CE'!$B$3*(365/12)*'Datos Custos Factura Eléctrica'!$B$3</f>
        <v>10.037500000000001</v>
      </c>
      <c r="K3" s="1260">
        <f>'Simulac. Factura Indiv. Sen CE'!$B$3*(365/12)*'Datos Custos Factura Eléctrica'!$B$3</f>
        <v>10.037500000000001</v>
      </c>
      <c r="L3" s="1260">
        <f>'Simulac. Factura Indiv. Sen CE'!$B$3*(365/12)*'Datos Custos Factura Eléctrica'!$B$3</f>
        <v>10.037500000000001</v>
      </c>
      <c r="M3" s="1260">
        <f>'Simulac. Factura Indiv. Sen CE'!$B$3*(365/12)*'Datos Custos Factura Eléctrica'!$B$3</f>
        <v>10.037500000000001</v>
      </c>
      <c r="N3" s="1260">
        <f>'Simulac. Factura Indiv. Sen CE'!$B$3*(365/12)*'Datos Custos Factura Eléctrica'!$B$3</f>
        <v>10.037500000000001</v>
      </c>
      <c r="O3" s="1260">
        <f>'Simulac. Factura Indiv. Sen CE'!$B$3*(365/12)*'Datos Custos Factura Eléctrica'!$B$3</f>
        <v>10.037500000000001</v>
      </c>
      <c r="P3" s="1260">
        <f>'Simulac. Factura Indiv. Sen CE'!$B$3*(365/12)*'Datos Custos Factura Eléctrica'!$B$3</f>
        <v>10.037500000000001</v>
      </c>
      <c r="Q3" s="1260">
        <f>'Simulac. Factura Indiv. Sen CE'!$B$3*(365/12)*'Datos Custos Factura Eléctrica'!$B$3</f>
        <v>10.037500000000001</v>
      </c>
      <c r="R3" s="1260">
        <f>'Simulac. Factura Indiv. Sen CE'!$B$3*(365/12)*'Datos Custos Factura Eléctrica'!$B$3</f>
        <v>10.037500000000001</v>
      </c>
      <c r="S3" s="1260">
        <f>'Simulac. Factura Indiv. Sen CE'!$B$3*(365/12)*'Datos Custos Factura Eléctrica'!$B$3</f>
        <v>10.037500000000001</v>
      </c>
      <c r="T3" s="1260">
        <f>'Simulac. Factura Indiv. Sen CE'!$B$3*(365/12)*'Datos Custos Factura Eléctrica'!$B$3</f>
        <v>10.037500000000001</v>
      </c>
      <c r="U3" s="1260">
        <f>'Simulac. Factura Indiv. Sen CE'!$B$3*(365/12)*'Datos Custos Factura Eléctrica'!$B$3</f>
        <v>10.037500000000001</v>
      </c>
      <c r="V3" s="1260">
        <f>'Simulac. Factura Indiv. Sen CE'!$B$3*(365/12)*'Datos Custos Factura Eléctrica'!$B$3</f>
        <v>10.037500000000001</v>
      </c>
      <c r="W3" s="1260">
        <f>'Simulac. Factura Indiv. Sen CE'!$B$3*(365/12)*'Datos Custos Factura Eléctrica'!$B$3</f>
        <v>10.037500000000001</v>
      </c>
      <c r="X3" s="1260">
        <f>'Simulac. Factura Indiv. Sen CE'!$B$3*(365/12)*'Datos Custos Factura Eléctrica'!$B$3</f>
        <v>10.037500000000001</v>
      </c>
      <c r="Y3" s="1260">
        <f>'Simulac. Factura Indiv. Sen CE'!$B$3*(365/12)*'Datos Custos Factura Eléctrica'!$B$3</f>
        <v>10.037500000000001</v>
      </c>
      <c r="Z3" s="1260">
        <f>'Simulac. Factura Indiv. Sen CE'!$B$3*(365/12)*'Datos Custos Factura Eléctrica'!$B$3</f>
        <v>10.037500000000001</v>
      </c>
      <c r="AA3" s="145">
        <f>SUM(B3:Z3)</f>
        <v>250.93749999999991</v>
      </c>
    </row>
    <row r="4" spans="1:27" x14ac:dyDescent="0.3">
      <c r="A4" s="411" t="s">
        <v>574</v>
      </c>
      <c r="B4" s="1260">
        <f>'Simulac. Factura Indiv. Sen CE'!$B$3*(365/12)*'Datos Custos Factura Eléctrica'!$B4</f>
        <v>3.01125</v>
      </c>
      <c r="C4" s="1260">
        <f>'Simulac. Factura Indiv. Sen CE'!$B$3*(365/12)*'Datos Custos Factura Eléctrica'!$B4</f>
        <v>3.01125</v>
      </c>
      <c r="D4" s="1260">
        <f>'Simulac. Factura Indiv. Sen CE'!$B$3*(365/12)*'Datos Custos Factura Eléctrica'!$B4</f>
        <v>3.01125</v>
      </c>
      <c r="E4" s="1260">
        <f>'Simulac. Factura Indiv. Sen CE'!$B$3*(365/12)*'Datos Custos Factura Eléctrica'!$B4</f>
        <v>3.01125</v>
      </c>
      <c r="F4" s="1260">
        <f>'Simulac. Factura Indiv. Sen CE'!$B$3*(365/12)*'Datos Custos Factura Eléctrica'!$B4</f>
        <v>3.01125</v>
      </c>
      <c r="G4" s="1260">
        <f>'Simulac. Factura Indiv. Sen CE'!$B$3*(365/12)*'Datos Custos Factura Eléctrica'!$B4</f>
        <v>3.01125</v>
      </c>
      <c r="H4" s="1260">
        <f>'Simulac. Factura Indiv. Sen CE'!$B$3*(365/12)*'Datos Custos Factura Eléctrica'!$B4</f>
        <v>3.01125</v>
      </c>
      <c r="I4" s="1260">
        <f>'Simulac. Factura Indiv. Sen CE'!$B$3*(365/12)*'Datos Custos Factura Eléctrica'!$B4</f>
        <v>3.01125</v>
      </c>
      <c r="J4" s="1260">
        <f>'Simulac. Factura Indiv. Sen CE'!$B$3*(365/12)*'Datos Custos Factura Eléctrica'!$B4</f>
        <v>3.01125</v>
      </c>
      <c r="K4" s="1260">
        <f>'Simulac. Factura Indiv. Sen CE'!$B$3*(365/12)*'Datos Custos Factura Eléctrica'!$B4</f>
        <v>3.01125</v>
      </c>
      <c r="L4" s="1260">
        <f>'Simulac. Factura Indiv. Sen CE'!$B$3*(365/12)*'Datos Custos Factura Eléctrica'!$B4</f>
        <v>3.01125</v>
      </c>
      <c r="M4" s="1260">
        <f>'Simulac. Factura Indiv. Sen CE'!$B$3*(365/12)*'Datos Custos Factura Eléctrica'!$B4</f>
        <v>3.01125</v>
      </c>
      <c r="N4" s="1260">
        <f>'Simulac. Factura Indiv. Sen CE'!$B$3*(365/12)*'Datos Custos Factura Eléctrica'!$B4</f>
        <v>3.01125</v>
      </c>
      <c r="O4" s="1260">
        <f>'Simulac. Factura Indiv. Sen CE'!$B$3*(365/12)*'Datos Custos Factura Eléctrica'!$B4</f>
        <v>3.01125</v>
      </c>
      <c r="P4" s="1260">
        <f>'Simulac. Factura Indiv. Sen CE'!$B$3*(365/12)*'Datos Custos Factura Eléctrica'!$B4</f>
        <v>3.01125</v>
      </c>
      <c r="Q4" s="1260">
        <f>'Simulac. Factura Indiv. Sen CE'!$B$3*(365/12)*'Datos Custos Factura Eléctrica'!$B4</f>
        <v>3.01125</v>
      </c>
      <c r="R4" s="1260">
        <f>'Simulac. Factura Indiv. Sen CE'!$B$3*(365/12)*'Datos Custos Factura Eléctrica'!$B4</f>
        <v>3.01125</v>
      </c>
      <c r="S4" s="1260">
        <f>'Simulac. Factura Indiv. Sen CE'!$B$3*(365/12)*'Datos Custos Factura Eléctrica'!$B4</f>
        <v>3.01125</v>
      </c>
      <c r="T4" s="1260">
        <f>'Simulac. Factura Indiv. Sen CE'!$B$3*(365/12)*'Datos Custos Factura Eléctrica'!$B4</f>
        <v>3.01125</v>
      </c>
      <c r="U4" s="1260">
        <f>'Simulac. Factura Indiv. Sen CE'!$B$3*(365/12)*'Datos Custos Factura Eléctrica'!$B4</f>
        <v>3.01125</v>
      </c>
      <c r="V4" s="1260">
        <f>'Simulac. Factura Indiv. Sen CE'!$B$3*(365/12)*'Datos Custos Factura Eléctrica'!$B4</f>
        <v>3.01125</v>
      </c>
      <c r="W4" s="1260">
        <f>'Simulac. Factura Indiv. Sen CE'!$B$3*(365/12)*'Datos Custos Factura Eléctrica'!$B4</f>
        <v>3.01125</v>
      </c>
      <c r="X4" s="1260">
        <f>'Simulac. Factura Indiv. Sen CE'!$B$3*(365/12)*'Datos Custos Factura Eléctrica'!$B4</f>
        <v>3.01125</v>
      </c>
      <c r="Y4" s="1260">
        <f>'Simulac. Factura Indiv. Sen CE'!$B$3*(365/12)*'Datos Custos Factura Eléctrica'!$B4</f>
        <v>3.01125</v>
      </c>
      <c r="Z4" s="1260">
        <f>'Simulac. Factura Indiv. Sen CE'!$B$3*(365/12)*'Datos Custos Factura Eléctrica'!$B4</f>
        <v>3.01125</v>
      </c>
      <c r="AA4" s="145">
        <f>SUM(B4:Z4)</f>
        <v>75.281249999999986</v>
      </c>
    </row>
    <row r="5" spans="1:27" x14ac:dyDescent="0.3">
      <c r="A5" s="411" t="s">
        <v>1080</v>
      </c>
      <c r="B5" s="1255">
        <f ca="1">((1-'Hipóteses xerais (2)'!$C$70)*(INDEX('Datos Socios'!$B$2:$B$27,'Factura Socios Sen CE'!B2))*'Datos Custos Factura Eléctrica'!$B$5)</f>
        <v>0</v>
      </c>
      <c r="C5" s="1255">
        <f ca="1">((1-'Hipóteses xerais (2)'!$C$70)*(INDEX('Datos Socios'!$B$2:$B$27,'Factura Socios Sen CE'!C2))*'Datos Custos Factura Eléctrica'!$B$5)</f>
        <v>0</v>
      </c>
      <c r="D5" s="1255">
        <f ca="1">((1-'Hipóteses xerais (2)'!$C$70)*(INDEX('Datos Socios'!$B$2:$B$27,'Factura Socios Sen CE'!D2))*'Datos Custos Factura Eléctrica'!$B$5)</f>
        <v>0</v>
      </c>
      <c r="E5" s="1255">
        <f ca="1">((1-'Hipóteses xerais (2)'!$C$70)*(INDEX('Datos Socios'!$B$2:$B$27,'Factura Socios Sen CE'!E2))*'Datos Custos Factura Eléctrica'!$B$5)</f>
        <v>0</v>
      </c>
      <c r="F5" s="1255">
        <f ca="1">((1-'Hipóteses xerais (2)'!$C$70)*(INDEX('Datos Socios'!$B$2:$B$27,'Factura Socios Sen CE'!F2))*'Datos Custos Factura Eléctrica'!$B$5)</f>
        <v>0</v>
      </c>
      <c r="G5" s="1255">
        <f ca="1">((1-'Hipóteses xerais (2)'!$C$70)*(INDEX('Datos Socios'!$B$2:$B$27,'Factura Socios Sen CE'!G2))*'Datos Custos Factura Eléctrica'!$B$5)</f>
        <v>0</v>
      </c>
      <c r="H5" s="1255">
        <f ca="1">((1-'Hipóteses xerais (2)'!$C$70)*(INDEX('Datos Socios'!$B$2:$B$27,'Factura Socios Sen CE'!H2))*'Datos Custos Factura Eléctrica'!$B$5)</f>
        <v>0</v>
      </c>
      <c r="I5" s="1255">
        <f ca="1">((1-'Hipóteses xerais (2)'!$C$70)*(INDEX('Datos Socios'!$B$2:$B$27,'Factura Socios Sen CE'!I2))*'Datos Custos Factura Eléctrica'!$B$5)</f>
        <v>0</v>
      </c>
      <c r="J5" s="1255">
        <f ca="1">((1-'Hipóteses xerais (2)'!$C$70)*(INDEX('Datos Socios'!$B$2:$B$27,'Factura Socios Sen CE'!J2))*'Datos Custos Factura Eléctrica'!$B$5)</f>
        <v>0</v>
      </c>
      <c r="K5" s="1255">
        <f ca="1">((1-'Hipóteses xerais (2)'!$C$70)*(INDEX('Datos Socios'!$B$2:$B$27,'Factura Socios Sen CE'!K2))*'Datos Custos Factura Eléctrica'!$B$5)</f>
        <v>0</v>
      </c>
      <c r="L5" s="1255">
        <f ca="1">((1-'Hipóteses xerais (2)'!$C$70)*(INDEX('Datos Socios'!$B$2:$B$27,'Factura Socios Sen CE'!L2))*'Datos Custos Factura Eléctrica'!$B$5)</f>
        <v>0</v>
      </c>
      <c r="M5" s="1255">
        <f ca="1">((1-'Hipóteses xerais (2)'!$C$70)*(INDEX('Datos Socios'!$B$2:$B$27,'Factura Socios Sen CE'!M2))*'Datos Custos Factura Eléctrica'!$B$5)</f>
        <v>0</v>
      </c>
      <c r="N5" s="1255">
        <f ca="1">((1-'Hipóteses xerais (2)'!$C$70)*(INDEX('Datos Socios'!$B$2:$B$27,'Factura Socios Sen CE'!N2))*'Datos Custos Factura Eléctrica'!$B$5)</f>
        <v>0</v>
      </c>
      <c r="O5" s="1255">
        <f ca="1">((1-'Hipóteses xerais (2)'!$C$70)*(INDEX('Datos Socios'!$B$2:$B$27,'Factura Socios Sen CE'!O2))*'Datos Custos Factura Eléctrica'!$B$5)</f>
        <v>0</v>
      </c>
      <c r="P5" s="1255">
        <f ca="1">((1-'Hipóteses xerais (2)'!$C$70)*(INDEX('Datos Socios'!$B$2:$B$27,'Factura Socios Sen CE'!P2))*'Datos Custos Factura Eléctrica'!$B$5)</f>
        <v>0</v>
      </c>
      <c r="Q5" s="1255">
        <f ca="1">((1-'Hipóteses xerais (2)'!$C$70)*(INDEX('Datos Socios'!$B$2:$B$27,'Factura Socios Sen CE'!Q2))*'Datos Custos Factura Eléctrica'!$B$5)</f>
        <v>0</v>
      </c>
      <c r="R5" s="1255">
        <f ca="1">((1-'Hipóteses xerais (2)'!$C$70)*(INDEX('Datos Socios'!$B$2:$B$27,'Factura Socios Sen CE'!R2))*'Datos Custos Factura Eléctrica'!$B$5)</f>
        <v>0</v>
      </c>
      <c r="S5" s="1255">
        <f ca="1">((1-'Hipóteses xerais (2)'!$C$70)*(INDEX('Datos Socios'!$B$2:$B$27,'Factura Socios Sen CE'!S2))*'Datos Custos Factura Eléctrica'!$B$5)</f>
        <v>0</v>
      </c>
      <c r="T5" s="1255">
        <f ca="1">((1-'Hipóteses xerais (2)'!$C$70)*(INDEX('Datos Socios'!$B$2:$B$27,'Factura Socios Sen CE'!T2))*'Datos Custos Factura Eléctrica'!$B$5)</f>
        <v>0</v>
      </c>
      <c r="U5" s="1255">
        <f ca="1">((1-'Hipóteses xerais (2)'!$C$70)*(INDEX('Datos Socios'!$B$2:$B$27,'Factura Socios Sen CE'!U2))*'Datos Custos Factura Eléctrica'!$B$5)</f>
        <v>0</v>
      </c>
      <c r="V5" s="1255">
        <f ca="1">((1-'Hipóteses xerais (2)'!$C$70)*(INDEX('Datos Socios'!$B$2:$B$27,'Factura Socios Sen CE'!V2))*'Datos Custos Factura Eléctrica'!$B$5)</f>
        <v>0</v>
      </c>
      <c r="W5" s="1255">
        <f ca="1">((1-'Hipóteses xerais (2)'!$C$70)*(INDEX('Datos Socios'!$B$2:$B$27,'Factura Socios Sen CE'!W2))*'Datos Custos Factura Eléctrica'!$B$5)</f>
        <v>0</v>
      </c>
      <c r="X5" s="1255">
        <f ca="1">((1-'Hipóteses xerais (2)'!$C$70)*(INDEX('Datos Socios'!$B$2:$B$27,'Factura Socios Sen CE'!X2))*'Datos Custos Factura Eléctrica'!$B$5)</f>
        <v>0</v>
      </c>
      <c r="Y5" s="1255">
        <f ca="1">((1-'Hipóteses xerais (2)'!$C$70)*(INDEX('Datos Socios'!$B$2:$B$27,'Factura Socios Sen CE'!Y2))*'Datos Custos Factura Eléctrica'!$B$5)</f>
        <v>0</v>
      </c>
      <c r="Z5" s="1255">
        <f ca="1">((1-'Hipóteses xerais (2)'!$C$70)*(INDEX('Datos Socios'!$B$2:$B$27,'Factura Socios Sen CE'!Z2))*'Datos Custos Factura Eléctrica'!$B$5)</f>
        <v>0</v>
      </c>
      <c r="AA5" s="145">
        <f ca="1">SUM(B5:Z5)</f>
        <v>0</v>
      </c>
    </row>
    <row r="6" spans="1:27" ht="15" thickBot="1" x14ac:dyDescent="0.35">
      <c r="A6" s="411" t="s">
        <v>577</v>
      </c>
      <c r="B6" s="1260">
        <f>'Datos Custos Factura Eléctrica'!$B$6*(365/12)</f>
        <v>1.1696729166666668</v>
      </c>
      <c r="C6" s="1260">
        <f>'Datos Custos Factura Eléctrica'!$B$6*(365/12)</f>
        <v>1.1696729166666668</v>
      </c>
      <c r="D6" s="1260">
        <f>'Datos Custos Factura Eléctrica'!$B$6*(365/12)</f>
        <v>1.1696729166666668</v>
      </c>
      <c r="E6" s="1260">
        <f>'Datos Custos Factura Eléctrica'!$B$6*(365/12)</f>
        <v>1.1696729166666668</v>
      </c>
      <c r="F6" s="1260">
        <f>'Datos Custos Factura Eléctrica'!$B$6*(365/12)</f>
        <v>1.1696729166666668</v>
      </c>
      <c r="G6" s="1260">
        <f>'Datos Custos Factura Eléctrica'!$B$6*(365/12)</f>
        <v>1.1696729166666668</v>
      </c>
      <c r="H6" s="1260">
        <f>'Datos Custos Factura Eléctrica'!$B$6*(365/12)</f>
        <v>1.1696729166666668</v>
      </c>
      <c r="I6" s="1260">
        <f>'Datos Custos Factura Eléctrica'!$B$6*(365/12)</f>
        <v>1.1696729166666668</v>
      </c>
      <c r="J6" s="1260">
        <f>'Datos Custos Factura Eléctrica'!$B$6*(365/12)</f>
        <v>1.1696729166666668</v>
      </c>
      <c r="K6" s="1260">
        <f>'Datos Custos Factura Eléctrica'!$B$6*(365/12)</f>
        <v>1.1696729166666668</v>
      </c>
      <c r="L6" s="1260">
        <f>'Datos Custos Factura Eléctrica'!$B$6*(365/12)</f>
        <v>1.1696729166666668</v>
      </c>
      <c r="M6" s="1260">
        <f>'Datos Custos Factura Eléctrica'!$B$6*(365/12)</f>
        <v>1.1696729166666668</v>
      </c>
      <c r="N6" s="1260">
        <f>'Datos Custos Factura Eléctrica'!$B$6*(365/12)</f>
        <v>1.1696729166666668</v>
      </c>
      <c r="O6" s="1260">
        <f>'Datos Custos Factura Eléctrica'!$B$6*(365/12)</f>
        <v>1.1696729166666668</v>
      </c>
      <c r="P6" s="1260">
        <f>'Datos Custos Factura Eléctrica'!$B$6*(365/12)</f>
        <v>1.1696729166666668</v>
      </c>
      <c r="Q6" s="1260">
        <f>'Datos Custos Factura Eléctrica'!$B$6*(365/12)</f>
        <v>1.1696729166666668</v>
      </c>
      <c r="R6" s="1260">
        <f>'Datos Custos Factura Eléctrica'!$B$6*(365/12)</f>
        <v>1.1696729166666668</v>
      </c>
      <c r="S6" s="1260">
        <f>'Datos Custos Factura Eléctrica'!$B$6*(365/12)</f>
        <v>1.1696729166666668</v>
      </c>
      <c r="T6" s="1260">
        <f>'Datos Custos Factura Eléctrica'!$B$6*(365/12)</f>
        <v>1.1696729166666668</v>
      </c>
      <c r="U6" s="1260">
        <f>'Datos Custos Factura Eléctrica'!$B$6*(365/12)</f>
        <v>1.1696729166666668</v>
      </c>
      <c r="V6" s="1260">
        <f>'Datos Custos Factura Eléctrica'!$B$6*(365/12)</f>
        <v>1.1696729166666668</v>
      </c>
      <c r="W6" s="1260">
        <f>'Datos Custos Factura Eléctrica'!$B$6*(365/12)</f>
        <v>1.1696729166666668</v>
      </c>
      <c r="X6" s="1260">
        <f>'Datos Custos Factura Eléctrica'!$B$6*(365/12)</f>
        <v>1.1696729166666668</v>
      </c>
      <c r="Y6" s="1260">
        <f>'Datos Custos Factura Eléctrica'!$B$6*(365/12)</f>
        <v>1.1696729166666668</v>
      </c>
      <c r="Z6" s="1260">
        <f>'Datos Custos Factura Eléctrica'!$B$6*(365/12)</f>
        <v>1.1696729166666668</v>
      </c>
      <c r="AA6" s="145">
        <f>SUM(B6:Z6)</f>
        <v>29.241822916666663</v>
      </c>
    </row>
    <row r="7" spans="1:27" ht="15" thickBot="1" x14ac:dyDescent="0.35">
      <c r="A7" s="1259" t="s">
        <v>1085</v>
      </c>
      <c r="B7" s="1258">
        <f t="shared" ref="B7:Z7" ca="1" si="0">SUM(B3:B6)</f>
        <v>14.218422916666668</v>
      </c>
      <c r="C7" s="1258">
        <f t="shared" ca="1" si="0"/>
        <v>14.218422916666668</v>
      </c>
      <c r="D7" s="1258">
        <f t="shared" ca="1" si="0"/>
        <v>14.218422916666668</v>
      </c>
      <c r="E7" s="1258">
        <f t="shared" ca="1" si="0"/>
        <v>14.218422916666668</v>
      </c>
      <c r="F7" s="1258">
        <f t="shared" ca="1" si="0"/>
        <v>14.218422916666668</v>
      </c>
      <c r="G7" s="1258">
        <f t="shared" ca="1" si="0"/>
        <v>14.218422916666668</v>
      </c>
      <c r="H7" s="1258">
        <f t="shared" ca="1" si="0"/>
        <v>14.218422916666668</v>
      </c>
      <c r="I7" s="1258">
        <f t="shared" ca="1" si="0"/>
        <v>14.218422916666668</v>
      </c>
      <c r="J7" s="1258">
        <f t="shared" ca="1" si="0"/>
        <v>14.218422916666668</v>
      </c>
      <c r="K7" s="1258">
        <f t="shared" ca="1" si="0"/>
        <v>14.218422916666668</v>
      </c>
      <c r="L7" s="1258">
        <f t="shared" ca="1" si="0"/>
        <v>14.218422916666668</v>
      </c>
      <c r="M7" s="1258">
        <f t="shared" ca="1" si="0"/>
        <v>14.218422916666668</v>
      </c>
      <c r="N7" s="1258">
        <f t="shared" ca="1" si="0"/>
        <v>14.218422916666668</v>
      </c>
      <c r="O7" s="1258">
        <f t="shared" ca="1" si="0"/>
        <v>14.218422916666668</v>
      </c>
      <c r="P7" s="1258">
        <f t="shared" ca="1" si="0"/>
        <v>14.218422916666668</v>
      </c>
      <c r="Q7" s="1258">
        <f t="shared" ca="1" si="0"/>
        <v>14.218422916666668</v>
      </c>
      <c r="R7" s="1258">
        <f t="shared" ca="1" si="0"/>
        <v>14.218422916666668</v>
      </c>
      <c r="S7" s="1258">
        <f t="shared" ca="1" si="0"/>
        <v>14.218422916666668</v>
      </c>
      <c r="T7" s="1258">
        <f t="shared" ca="1" si="0"/>
        <v>14.218422916666668</v>
      </c>
      <c r="U7" s="1258">
        <f t="shared" ca="1" si="0"/>
        <v>14.218422916666668</v>
      </c>
      <c r="V7" s="1258">
        <f t="shared" ca="1" si="0"/>
        <v>14.218422916666668</v>
      </c>
      <c r="W7" s="1258">
        <f t="shared" ca="1" si="0"/>
        <v>14.218422916666668</v>
      </c>
      <c r="X7" s="1258">
        <f t="shared" ca="1" si="0"/>
        <v>14.218422916666668</v>
      </c>
      <c r="Y7" s="1257">
        <f t="shared" ca="1" si="0"/>
        <v>14.218422916666668</v>
      </c>
      <c r="Z7" s="1256">
        <f t="shared" ca="1" si="0"/>
        <v>14.218422916666668</v>
      </c>
      <c r="AA7" s="1256">
        <f ca="1">SUM(B7:Z7)</f>
        <v>355.46057291666671</v>
      </c>
    </row>
    <row r="8" spans="1:27" x14ac:dyDescent="0.3">
      <c r="A8" s="411"/>
      <c r="B8" s="389"/>
      <c r="C8" s="38"/>
    </row>
    <row r="9" spans="1:27" x14ac:dyDescent="0.3">
      <c r="A9" s="411" t="s">
        <v>582</v>
      </c>
      <c r="B9" s="1255">
        <f ca="1">B7*'Simulac. Factura Indiv. Sen CE'!$C$8</f>
        <v>7.1092114583333338E-2</v>
      </c>
      <c r="C9" s="1255">
        <f ca="1">C7*'Simulac. Factura Indiv. Sen CE'!$C$8</f>
        <v>7.1092114583333338E-2</v>
      </c>
      <c r="D9" s="1255">
        <f ca="1">D7*'Simulac. Factura Indiv. Sen CE'!$C$8</f>
        <v>7.1092114583333338E-2</v>
      </c>
      <c r="E9" s="1255">
        <f ca="1">E7*'Simulac. Factura Indiv. Sen CE'!$C$8</f>
        <v>7.1092114583333338E-2</v>
      </c>
      <c r="F9" s="1255">
        <f ca="1">F7*'Simulac. Factura Indiv. Sen CE'!$C$8</f>
        <v>7.1092114583333338E-2</v>
      </c>
      <c r="G9" s="1255">
        <f ca="1">G7*'Simulac. Factura Indiv. Sen CE'!$C$8</f>
        <v>7.1092114583333338E-2</v>
      </c>
      <c r="H9" s="1255">
        <f ca="1">H7*'Simulac. Factura Indiv. Sen CE'!$C$8</f>
        <v>7.1092114583333338E-2</v>
      </c>
      <c r="I9" s="1255">
        <f ca="1">I7*'Simulac. Factura Indiv. Sen CE'!$C$8</f>
        <v>7.1092114583333338E-2</v>
      </c>
      <c r="J9" s="1255">
        <f ca="1">J7*'Simulac. Factura Indiv. Sen CE'!$C$8</f>
        <v>7.1092114583333338E-2</v>
      </c>
      <c r="K9" s="1255">
        <f ca="1">K7*'Simulac. Factura Indiv. Sen CE'!$C$8</f>
        <v>7.1092114583333338E-2</v>
      </c>
      <c r="L9" s="1255">
        <f ca="1">L7*'Simulac. Factura Indiv. Sen CE'!$C$8</f>
        <v>7.1092114583333338E-2</v>
      </c>
      <c r="M9" s="1255">
        <f ca="1">M7*'Simulac. Factura Indiv. Sen CE'!$C$8</f>
        <v>7.1092114583333338E-2</v>
      </c>
      <c r="N9" s="1255">
        <f ca="1">N7*'Simulac. Factura Indiv. Sen CE'!$C$8</f>
        <v>7.1092114583333338E-2</v>
      </c>
      <c r="O9" s="1255">
        <f ca="1">O7*'Simulac. Factura Indiv. Sen CE'!$C$8</f>
        <v>7.1092114583333338E-2</v>
      </c>
      <c r="P9" s="1255">
        <f ca="1">P7*'Simulac. Factura Indiv. Sen CE'!$C$8</f>
        <v>7.1092114583333338E-2</v>
      </c>
      <c r="Q9" s="1255">
        <f ca="1">Q7*'Simulac. Factura Indiv. Sen CE'!$C$8</f>
        <v>7.1092114583333338E-2</v>
      </c>
      <c r="R9" s="1255">
        <f ca="1">R7*'Simulac. Factura Indiv. Sen CE'!$C$8</f>
        <v>7.1092114583333338E-2</v>
      </c>
      <c r="S9" s="1255">
        <f ca="1">S7*'Simulac. Factura Indiv. Sen CE'!$C$8</f>
        <v>7.1092114583333338E-2</v>
      </c>
      <c r="T9" s="1255">
        <f ca="1">T7*'Simulac. Factura Indiv. Sen CE'!$C$8</f>
        <v>7.1092114583333338E-2</v>
      </c>
      <c r="U9" s="1255">
        <f ca="1">U7*'Simulac. Factura Indiv. Sen CE'!$C$8</f>
        <v>7.1092114583333338E-2</v>
      </c>
      <c r="V9" s="1255">
        <f ca="1">V7*'Simulac. Factura Indiv. Sen CE'!$C$8</f>
        <v>7.1092114583333338E-2</v>
      </c>
      <c r="W9" s="1255">
        <f ca="1">W7*'Simulac. Factura Indiv. Sen CE'!$C$8</f>
        <v>7.1092114583333338E-2</v>
      </c>
      <c r="X9" s="1255">
        <f ca="1">X7*'Simulac. Factura Indiv. Sen CE'!$C$8</f>
        <v>7.1092114583333338E-2</v>
      </c>
      <c r="Y9" s="1255">
        <f ca="1">Y7*'Simulac. Factura Indiv. Sen CE'!$C$8</f>
        <v>7.1092114583333338E-2</v>
      </c>
      <c r="Z9" s="1255">
        <f ca="1">Z7*'Simulac. Factura Indiv. Sen CE'!$C$8</f>
        <v>7.1092114583333338E-2</v>
      </c>
      <c r="AA9" s="145">
        <f ca="1">SUM(B9:Z9)</f>
        <v>1.777302864583334</v>
      </c>
    </row>
    <row r="10" spans="1:27" x14ac:dyDescent="0.3">
      <c r="A10" s="411"/>
      <c r="B10" s="389"/>
      <c r="C10" s="38"/>
    </row>
    <row r="11" spans="1:27" x14ac:dyDescent="0.3">
      <c r="A11" s="411" t="s">
        <v>585</v>
      </c>
      <c r="B11" s="1260">
        <f>'Datos Custos Factura Eléctrica'!$B$11*(365/12)</f>
        <v>0.81474083333333336</v>
      </c>
      <c r="C11" s="1260">
        <f>'Datos Custos Factura Eléctrica'!$B$11*(365/12)</f>
        <v>0.81474083333333336</v>
      </c>
      <c r="D11" s="1260">
        <f>'Datos Custos Factura Eléctrica'!$B$11*(365/12)</f>
        <v>0.81474083333333336</v>
      </c>
      <c r="E11" s="1260">
        <f>'Datos Custos Factura Eléctrica'!$B$11*(365/12)</f>
        <v>0.81474083333333336</v>
      </c>
      <c r="F11" s="1260">
        <f>'Datos Custos Factura Eléctrica'!$B$11*(365/12)</f>
        <v>0.81474083333333336</v>
      </c>
      <c r="G11" s="1260">
        <f>'Datos Custos Factura Eléctrica'!$B$11*(365/12)</f>
        <v>0.81474083333333336</v>
      </c>
      <c r="H11" s="1260">
        <f>'Datos Custos Factura Eléctrica'!$B$11*(365/12)</f>
        <v>0.81474083333333336</v>
      </c>
      <c r="I11" s="1260">
        <f>'Datos Custos Factura Eléctrica'!$B$11*(365/12)</f>
        <v>0.81474083333333336</v>
      </c>
      <c r="J11" s="1260">
        <f>'Datos Custos Factura Eléctrica'!$B$11*(365/12)</f>
        <v>0.81474083333333336</v>
      </c>
      <c r="K11" s="1260">
        <f>'Datos Custos Factura Eléctrica'!$B$11*(365/12)</f>
        <v>0.81474083333333336</v>
      </c>
      <c r="L11" s="1260">
        <f>'Datos Custos Factura Eléctrica'!$B$11*(365/12)</f>
        <v>0.81474083333333336</v>
      </c>
      <c r="M11" s="1260">
        <f>'Datos Custos Factura Eléctrica'!$B$11*(365/12)</f>
        <v>0.81474083333333336</v>
      </c>
      <c r="N11" s="1260">
        <f>'Datos Custos Factura Eléctrica'!$B$11*(365/12)</f>
        <v>0.81474083333333336</v>
      </c>
      <c r="O11" s="1260">
        <f>'Datos Custos Factura Eléctrica'!$B$11*(365/12)</f>
        <v>0.81474083333333336</v>
      </c>
      <c r="P11" s="1260">
        <f>'Datos Custos Factura Eléctrica'!$B$11*(365/12)</f>
        <v>0.81474083333333336</v>
      </c>
      <c r="Q11" s="1260">
        <f>'Datos Custos Factura Eléctrica'!$B$11*(365/12)</f>
        <v>0.81474083333333336</v>
      </c>
      <c r="R11" s="1260">
        <f>'Datos Custos Factura Eléctrica'!$B$11*(365/12)</f>
        <v>0.81474083333333336</v>
      </c>
      <c r="S11" s="1260">
        <f>'Datos Custos Factura Eléctrica'!$B$11*(365/12)</f>
        <v>0.81474083333333336</v>
      </c>
      <c r="T11" s="1260">
        <f>'Datos Custos Factura Eléctrica'!$B$11*(365/12)</f>
        <v>0.81474083333333336</v>
      </c>
      <c r="U11" s="1260">
        <f>'Datos Custos Factura Eléctrica'!$B$11*(365/12)</f>
        <v>0.81474083333333336</v>
      </c>
      <c r="V11" s="1260">
        <f>'Datos Custos Factura Eléctrica'!$B$11*(365/12)</f>
        <v>0.81474083333333336</v>
      </c>
      <c r="W11" s="1260">
        <f>'Datos Custos Factura Eléctrica'!$B$11*(365/12)</f>
        <v>0.81474083333333336</v>
      </c>
      <c r="X11" s="1260">
        <f>'Datos Custos Factura Eléctrica'!$B$11*(365/12)</f>
        <v>0.81474083333333336</v>
      </c>
      <c r="Y11" s="1260">
        <f>'Datos Custos Factura Eléctrica'!$B$11*(365/12)</f>
        <v>0.81474083333333336</v>
      </c>
      <c r="Z11" s="1260">
        <f>'Datos Custos Factura Eléctrica'!$B$11*(365/12)</f>
        <v>0.81474083333333336</v>
      </c>
      <c r="AA11" s="145">
        <f>SUM(B11:Z11)</f>
        <v>20.368520833333324</v>
      </c>
    </row>
    <row r="12" spans="1:27" ht="15" thickBot="1" x14ac:dyDescent="0.35">
      <c r="A12" s="411"/>
      <c r="B12" s="389"/>
      <c r="C12" s="38"/>
    </row>
    <row r="13" spans="1:27" ht="15" thickBot="1" x14ac:dyDescent="0.35">
      <c r="A13" s="1259" t="s">
        <v>1084</v>
      </c>
      <c r="B13" s="1258">
        <f t="shared" ref="B13:Z13" ca="1" si="1">B7+B9+B11</f>
        <v>15.104255864583335</v>
      </c>
      <c r="C13" s="1258">
        <f t="shared" ca="1" si="1"/>
        <v>15.104255864583335</v>
      </c>
      <c r="D13" s="1258">
        <f t="shared" ca="1" si="1"/>
        <v>15.104255864583335</v>
      </c>
      <c r="E13" s="1258">
        <f t="shared" ca="1" si="1"/>
        <v>15.104255864583335</v>
      </c>
      <c r="F13" s="1258">
        <f t="shared" ca="1" si="1"/>
        <v>15.104255864583335</v>
      </c>
      <c r="G13" s="1258">
        <f t="shared" ca="1" si="1"/>
        <v>15.104255864583335</v>
      </c>
      <c r="H13" s="1258">
        <f t="shared" ca="1" si="1"/>
        <v>15.104255864583335</v>
      </c>
      <c r="I13" s="1258">
        <f t="shared" ca="1" si="1"/>
        <v>15.104255864583335</v>
      </c>
      <c r="J13" s="1258">
        <f t="shared" ca="1" si="1"/>
        <v>15.104255864583335</v>
      </c>
      <c r="K13" s="1258">
        <f t="shared" ca="1" si="1"/>
        <v>15.104255864583335</v>
      </c>
      <c r="L13" s="1258">
        <f t="shared" ca="1" si="1"/>
        <v>15.104255864583335</v>
      </c>
      <c r="M13" s="1258">
        <f t="shared" ca="1" si="1"/>
        <v>15.104255864583335</v>
      </c>
      <c r="N13" s="1258">
        <f t="shared" ca="1" si="1"/>
        <v>15.104255864583335</v>
      </c>
      <c r="O13" s="1258">
        <f t="shared" ca="1" si="1"/>
        <v>15.104255864583335</v>
      </c>
      <c r="P13" s="1258">
        <f t="shared" ca="1" si="1"/>
        <v>15.104255864583335</v>
      </c>
      <c r="Q13" s="1258">
        <f t="shared" ca="1" si="1"/>
        <v>15.104255864583335</v>
      </c>
      <c r="R13" s="1258">
        <f t="shared" ca="1" si="1"/>
        <v>15.104255864583335</v>
      </c>
      <c r="S13" s="1258">
        <f t="shared" ca="1" si="1"/>
        <v>15.104255864583335</v>
      </c>
      <c r="T13" s="1258">
        <f t="shared" ca="1" si="1"/>
        <v>15.104255864583335</v>
      </c>
      <c r="U13" s="1258">
        <f t="shared" ca="1" si="1"/>
        <v>15.104255864583335</v>
      </c>
      <c r="V13" s="1258">
        <f t="shared" ca="1" si="1"/>
        <v>15.104255864583335</v>
      </c>
      <c r="W13" s="1258">
        <f t="shared" ca="1" si="1"/>
        <v>15.104255864583335</v>
      </c>
      <c r="X13" s="1258">
        <f t="shared" ca="1" si="1"/>
        <v>15.104255864583335</v>
      </c>
      <c r="Y13" s="1257">
        <f t="shared" ca="1" si="1"/>
        <v>15.104255864583335</v>
      </c>
      <c r="Z13" s="1256">
        <f t="shared" ca="1" si="1"/>
        <v>15.104255864583335</v>
      </c>
      <c r="AA13" s="1256">
        <f ca="1">SUM(B13:Z13)</f>
        <v>377.60639661458316</v>
      </c>
    </row>
    <row r="14" spans="1:27" x14ac:dyDescent="0.3">
      <c r="A14" s="411"/>
      <c r="B14" s="389"/>
      <c r="C14" s="38"/>
    </row>
    <row r="15" spans="1:27" x14ac:dyDescent="0.3">
      <c r="A15" s="411" t="s">
        <v>1083</v>
      </c>
      <c r="B15" s="1255">
        <f ca="1">'Simulac. Factura Indiv. Sen CE'!$C$14*B13</f>
        <v>3.1718937315625002</v>
      </c>
      <c r="C15" s="1255">
        <f ca="1">'Simulac. Factura Indiv. Sen CE'!$C$14*C13</f>
        <v>3.1718937315625002</v>
      </c>
      <c r="D15" s="1255">
        <f ca="1">'Simulac. Factura Indiv. Sen CE'!$C$14*D13</f>
        <v>3.1718937315625002</v>
      </c>
      <c r="E15" s="1255">
        <f ca="1">'Simulac. Factura Indiv. Sen CE'!$C$14*E13</f>
        <v>3.1718937315625002</v>
      </c>
      <c r="F15" s="1255">
        <f ca="1">'Simulac. Factura Indiv. Sen CE'!$C$14*F13</f>
        <v>3.1718937315625002</v>
      </c>
      <c r="G15" s="1255">
        <f ca="1">'Simulac. Factura Indiv. Sen CE'!$C$14*G13</f>
        <v>3.1718937315625002</v>
      </c>
      <c r="H15" s="1255">
        <f ca="1">'Simulac. Factura Indiv. Sen CE'!$C$14*H13</f>
        <v>3.1718937315625002</v>
      </c>
      <c r="I15" s="1255">
        <f ca="1">'Simulac. Factura Indiv. Sen CE'!$C$14*I13</f>
        <v>3.1718937315625002</v>
      </c>
      <c r="J15" s="1255">
        <f ca="1">'Simulac. Factura Indiv. Sen CE'!$C$14*J13</f>
        <v>3.1718937315625002</v>
      </c>
      <c r="K15" s="1255">
        <f ca="1">'Simulac. Factura Indiv. Sen CE'!$C$14*K13</f>
        <v>3.1718937315625002</v>
      </c>
      <c r="L15" s="1255">
        <f ca="1">'Simulac. Factura Indiv. Sen CE'!$C$14*L13</f>
        <v>3.1718937315625002</v>
      </c>
      <c r="M15" s="1255">
        <f ca="1">'Simulac. Factura Indiv. Sen CE'!$C$14*M13</f>
        <v>3.1718937315625002</v>
      </c>
      <c r="N15" s="1255">
        <f ca="1">'Simulac. Factura Indiv. Sen CE'!$C$14*N13</f>
        <v>3.1718937315625002</v>
      </c>
      <c r="O15" s="1255">
        <f ca="1">'Simulac. Factura Indiv. Sen CE'!$C$14*O13</f>
        <v>3.1718937315625002</v>
      </c>
      <c r="P15" s="1255">
        <f ca="1">'Simulac. Factura Indiv. Sen CE'!$C$14*P13</f>
        <v>3.1718937315625002</v>
      </c>
      <c r="Q15" s="1255">
        <f ca="1">'Simulac. Factura Indiv. Sen CE'!$C$14*Q13</f>
        <v>3.1718937315625002</v>
      </c>
      <c r="R15" s="1255">
        <f ca="1">'Simulac. Factura Indiv. Sen CE'!$C$14*R13</f>
        <v>3.1718937315625002</v>
      </c>
      <c r="S15" s="1255">
        <f ca="1">'Simulac. Factura Indiv. Sen CE'!$C$14*S13</f>
        <v>3.1718937315625002</v>
      </c>
      <c r="T15" s="1255">
        <f ca="1">'Simulac. Factura Indiv. Sen CE'!$C$14*T13</f>
        <v>3.1718937315625002</v>
      </c>
      <c r="U15" s="1255">
        <f ca="1">'Simulac. Factura Indiv. Sen CE'!$C$14*U13</f>
        <v>3.1718937315625002</v>
      </c>
      <c r="V15" s="1255">
        <f ca="1">'Simulac. Factura Indiv. Sen CE'!$C$14*V13</f>
        <v>3.1718937315625002</v>
      </c>
      <c r="W15" s="1255">
        <f ca="1">'Simulac. Factura Indiv. Sen CE'!$C$14*W13</f>
        <v>3.1718937315625002</v>
      </c>
      <c r="X15" s="1255">
        <f ca="1">'Simulac. Factura Indiv. Sen CE'!$C$14*X13</f>
        <v>3.1718937315625002</v>
      </c>
      <c r="Y15" s="1255">
        <f ca="1">'Simulac. Factura Indiv. Sen CE'!$C$14*Y13</f>
        <v>3.1718937315625002</v>
      </c>
      <c r="Z15" s="1255">
        <f ca="1">'Simulac. Factura Indiv. Sen CE'!$C$14*Z13</f>
        <v>3.1718937315625002</v>
      </c>
      <c r="AA15" s="145">
        <f ca="1">SUM(B15:Z15)</f>
        <v>79.297343289062511</v>
      </c>
    </row>
    <row r="16" spans="1:27" ht="15" thickBot="1" x14ac:dyDescent="0.35">
      <c r="A16" s="411"/>
      <c r="B16" s="389"/>
      <c r="C16" s="38"/>
    </row>
    <row r="17" spans="1:27" ht="15" thickBot="1" x14ac:dyDescent="0.35">
      <c r="A17" s="1254" t="s">
        <v>1082</v>
      </c>
      <c r="B17" s="1253">
        <f t="shared" ref="B17:Z17" ca="1" si="2">B13+B15</f>
        <v>18.276149596145835</v>
      </c>
      <c r="C17" s="1253">
        <f t="shared" ca="1" si="2"/>
        <v>18.276149596145835</v>
      </c>
      <c r="D17" s="1253">
        <f t="shared" ca="1" si="2"/>
        <v>18.276149596145835</v>
      </c>
      <c r="E17" s="1253">
        <f t="shared" ca="1" si="2"/>
        <v>18.276149596145835</v>
      </c>
      <c r="F17" s="1253">
        <f t="shared" ca="1" si="2"/>
        <v>18.276149596145835</v>
      </c>
      <c r="G17" s="1253">
        <f t="shared" ca="1" si="2"/>
        <v>18.276149596145835</v>
      </c>
      <c r="H17" s="1253">
        <f t="shared" ca="1" si="2"/>
        <v>18.276149596145835</v>
      </c>
      <c r="I17" s="1253">
        <f t="shared" ca="1" si="2"/>
        <v>18.276149596145835</v>
      </c>
      <c r="J17" s="1253">
        <f t="shared" ca="1" si="2"/>
        <v>18.276149596145835</v>
      </c>
      <c r="K17" s="1253">
        <f t="shared" ca="1" si="2"/>
        <v>18.276149596145835</v>
      </c>
      <c r="L17" s="1253">
        <f t="shared" ca="1" si="2"/>
        <v>18.276149596145835</v>
      </c>
      <c r="M17" s="1253">
        <f t="shared" ca="1" si="2"/>
        <v>18.276149596145835</v>
      </c>
      <c r="N17" s="1253">
        <f t="shared" ca="1" si="2"/>
        <v>18.276149596145835</v>
      </c>
      <c r="O17" s="1253">
        <f t="shared" ca="1" si="2"/>
        <v>18.276149596145835</v>
      </c>
      <c r="P17" s="1253">
        <f t="shared" ca="1" si="2"/>
        <v>18.276149596145835</v>
      </c>
      <c r="Q17" s="1253">
        <f t="shared" ca="1" si="2"/>
        <v>18.276149596145835</v>
      </c>
      <c r="R17" s="1253">
        <f t="shared" ca="1" si="2"/>
        <v>18.276149596145835</v>
      </c>
      <c r="S17" s="1253">
        <f t="shared" ca="1" si="2"/>
        <v>18.276149596145835</v>
      </c>
      <c r="T17" s="1253">
        <f t="shared" ca="1" si="2"/>
        <v>18.276149596145835</v>
      </c>
      <c r="U17" s="1253">
        <f t="shared" ca="1" si="2"/>
        <v>18.276149596145835</v>
      </c>
      <c r="V17" s="1253">
        <f t="shared" ca="1" si="2"/>
        <v>18.276149596145835</v>
      </c>
      <c r="W17" s="1253">
        <f t="shared" ca="1" si="2"/>
        <v>18.276149596145835</v>
      </c>
      <c r="X17" s="1253">
        <f t="shared" ca="1" si="2"/>
        <v>18.276149596145835</v>
      </c>
      <c r="Y17" s="1253">
        <f t="shared" ca="1" si="2"/>
        <v>18.276149596145835</v>
      </c>
      <c r="Z17" s="1252">
        <f t="shared" ca="1" si="2"/>
        <v>18.276149596145835</v>
      </c>
      <c r="AA17" s="1251">
        <f ca="1">SUM(B17:Z17)</f>
        <v>456.903739903646</v>
      </c>
    </row>
    <row r="18" spans="1:27" x14ac:dyDescent="0.3">
      <c r="B18" s="389"/>
      <c r="C18" s="38"/>
    </row>
    <row r="19" spans="1:27" x14ac:dyDescent="0.3">
      <c r="B19" s="389"/>
      <c r="C19" s="38"/>
    </row>
    <row r="20" spans="1:27" x14ac:dyDescent="0.3">
      <c r="B20" s="389"/>
      <c r="C20" s="38"/>
    </row>
    <row r="21" spans="1:27" x14ac:dyDescent="0.3">
      <c r="B21" s="389"/>
      <c r="C21" s="38"/>
    </row>
    <row r="22" spans="1:27" x14ac:dyDescent="0.3">
      <c r="B22" s="389"/>
      <c r="C22" s="38"/>
    </row>
    <row r="23" spans="1:27" x14ac:dyDescent="0.3">
      <c r="B23" s="389"/>
      <c r="C23" s="38"/>
    </row>
    <row r="24" spans="1:27" x14ac:dyDescent="0.3">
      <c r="B24" s="389"/>
      <c r="C24" s="38"/>
    </row>
    <row r="25" spans="1:27" x14ac:dyDescent="0.3">
      <c r="B25" s="389"/>
      <c r="C25" s="38"/>
    </row>
    <row r="26" spans="1:27" x14ac:dyDescent="0.3">
      <c r="B26" s="389"/>
      <c r="C26" s="1250"/>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0C56-32D0-44DF-8715-E6E2A45D4DB7}">
  <dimension ref="A1:AA12"/>
  <sheetViews>
    <sheetView topLeftCell="A2" workbookViewId="0">
      <selection activeCell="F72" sqref="F72:AD72"/>
    </sheetView>
  </sheetViews>
  <sheetFormatPr baseColWidth="10" defaultColWidth="11.5546875" defaultRowHeight="14.4" x14ac:dyDescent="0.3"/>
  <cols>
    <col min="1" max="1" width="41.88671875" customWidth="1"/>
  </cols>
  <sheetData>
    <row r="1" spans="1:27" ht="29.4" thickBot="1" x14ac:dyDescent="0.35">
      <c r="A1" s="1337" t="s">
        <v>1136</v>
      </c>
      <c r="B1" s="1336">
        <v>1</v>
      </c>
      <c r="C1" s="1336">
        <v>2</v>
      </c>
      <c r="D1" s="1336">
        <v>3</v>
      </c>
      <c r="E1" s="1336">
        <v>4</v>
      </c>
      <c r="F1" s="1336">
        <v>5</v>
      </c>
      <c r="G1" s="1336">
        <v>6</v>
      </c>
      <c r="H1" s="1336">
        <v>7</v>
      </c>
      <c r="I1" s="1336">
        <v>8</v>
      </c>
      <c r="J1" s="1336">
        <v>9</v>
      </c>
      <c r="K1" s="1336">
        <v>10</v>
      </c>
      <c r="L1" s="1336">
        <v>11</v>
      </c>
      <c r="M1" s="1336">
        <v>12</v>
      </c>
      <c r="N1" s="1336">
        <v>13</v>
      </c>
      <c r="O1" s="1336">
        <v>14</v>
      </c>
      <c r="P1" s="1336">
        <v>15</v>
      </c>
      <c r="Q1" s="1336">
        <v>16</v>
      </c>
      <c r="R1" s="1336">
        <v>17</v>
      </c>
      <c r="S1" s="1336">
        <v>18</v>
      </c>
      <c r="T1" s="1336">
        <v>19</v>
      </c>
      <c r="U1" s="1336">
        <v>20</v>
      </c>
      <c r="V1" s="1336">
        <v>21</v>
      </c>
      <c r="W1" s="1336">
        <v>22</v>
      </c>
      <c r="X1" s="1336">
        <v>23</v>
      </c>
      <c r="Y1" s="1336">
        <v>24</v>
      </c>
      <c r="Z1" s="1336">
        <v>25</v>
      </c>
      <c r="AA1" s="1335" t="s">
        <v>1164</v>
      </c>
    </row>
    <row r="2" spans="1:27" x14ac:dyDescent="0.3">
      <c r="A2" s="65" t="s">
        <v>568</v>
      </c>
    </row>
    <row r="3" spans="1:27" x14ac:dyDescent="0.3">
      <c r="A3" s="796" t="s">
        <v>1163</v>
      </c>
      <c r="B3" s="1045" t="e">
        <f ca="1">'Factura Socios Con CE'!B17-'Factura Socios Sen CE'!B17</f>
        <v>#N/A</v>
      </c>
      <c r="C3" s="1045" t="e">
        <f ca="1">'Factura Socios Con CE'!C17-'Factura Socios Sen CE'!C17</f>
        <v>#N/A</v>
      </c>
      <c r="D3" s="1045" t="e">
        <f ca="1">'Factura Socios Con CE'!D17-'Factura Socios Sen CE'!D17</f>
        <v>#N/A</v>
      </c>
      <c r="E3" s="1045" t="e">
        <f ca="1">'Factura Socios Con CE'!E17-'Factura Socios Sen CE'!E17</f>
        <v>#N/A</v>
      </c>
      <c r="F3" s="1045" t="e">
        <f ca="1">'Factura Socios Con CE'!F17-'Factura Socios Sen CE'!F17</f>
        <v>#N/A</v>
      </c>
      <c r="G3" s="1045" t="e">
        <f ca="1">'Factura Socios Con CE'!G17-'Factura Socios Sen CE'!G17</f>
        <v>#N/A</v>
      </c>
      <c r="H3" s="1045" t="e">
        <f ca="1">'Factura Socios Con CE'!H17-'Factura Socios Sen CE'!H17</f>
        <v>#N/A</v>
      </c>
      <c r="I3" s="1045" t="e">
        <f ca="1">'Factura Socios Con CE'!I17-'Factura Socios Sen CE'!I17</f>
        <v>#N/A</v>
      </c>
      <c r="J3" s="1045" t="e">
        <f ca="1">'Factura Socios Con CE'!J17-'Factura Socios Sen CE'!J17</f>
        <v>#N/A</v>
      </c>
      <c r="K3" s="1045" t="e">
        <f ca="1">'Factura Socios Con CE'!K17-'Factura Socios Sen CE'!K17</f>
        <v>#N/A</v>
      </c>
      <c r="L3" s="1045" t="e">
        <f ca="1">'Factura Socios Con CE'!L17-'Factura Socios Sen CE'!L17</f>
        <v>#N/A</v>
      </c>
      <c r="M3" s="1045" t="e">
        <f ca="1">'Factura Socios Con CE'!M17-'Factura Socios Sen CE'!M17</f>
        <v>#N/A</v>
      </c>
      <c r="N3" s="1045" t="e">
        <f ca="1">'Factura Socios Con CE'!N17-'Factura Socios Sen CE'!N17</f>
        <v>#N/A</v>
      </c>
      <c r="O3" s="1045" t="e">
        <f ca="1">'Factura Socios Con CE'!O17-'Factura Socios Sen CE'!O17</f>
        <v>#N/A</v>
      </c>
      <c r="P3" s="1045" t="e">
        <f ca="1">'Factura Socios Con CE'!P17-'Factura Socios Sen CE'!P17</f>
        <v>#N/A</v>
      </c>
      <c r="Q3" s="1045" t="e">
        <f ca="1">'Factura Socios Con CE'!Q17-'Factura Socios Sen CE'!Q17</f>
        <v>#N/A</v>
      </c>
      <c r="R3" s="1045" t="e">
        <f ca="1">'Factura Socios Con CE'!R17-'Factura Socios Sen CE'!R17</f>
        <v>#N/A</v>
      </c>
      <c r="S3" s="1045" t="e">
        <f ca="1">'Factura Socios Con CE'!S17-'Factura Socios Sen CE'!S17</f>
        <v>#N/A</v>
      </c>
      <c r="T3" s="1045" t="e">
        <f ca="1">'Factura Socios Con CE'!T17-'Factura Socios Sen CE'!T17</f>
        <v>#N/A</v>
      </c>
      <c r="U3" s="1045" t="e">
        <f ca="1">'Factura Socios Con CE'!U17-'Factura Socios Sen CE'!U17</f>
        <v>#N/A</v>
      </c>
      <c r="V3" s="1045" t="e">
        <f ca="1">'Factura Socios Con CE'!V17-'Factura Socios Sen CE'!V17</f>
        <v>#N/A</v>
      </c>
      <c r="W3" s="1045" t="e">
        <f ca="1">'Factura Socios Con CE'!W17-'Factura Socios Sen CE'!W17</f>
        <v>#N/A</v>
      </c>
      <c r="X3" s="1045" t="e">
        <f ca="1">'Factura Socios Con CE'!X17-'Factura Socios Sen CE'!X17</f>
        <v>#N/A</v>
      </c>
      <c r="Y3" s="1045" t="e">
        <f ca="1">'Factura Socios Con CE'!Y17-'Factura Socios Sen CE'!Y17</f>
        <v>#N/A</v>
      </c>
      <c r="Z3" s="1045" t="e">
        <f ca="1">'Factura Socios Con CE'!Z17-'Factura Socios Sen CE'!Z17</f>
        <v>#N/A</v>
      </c>
      <c r="AA3" s="1099" t="e">
        <f ca="1">SUM(B3:Z3)</f>
        <v>#N/A</v>
      </c>
    </row>
    <row r="4" spans="1:27" x14ac:dyDescent="0.3">
      <c r="A4" s="1334" t="s">
        <v>1162</v>
      </c>
    </row>
    <row r="6" spans="1:27" ht="28.8" x14ac:dyDescent="0.3">
      <c r="A6" s="1333" t="s">
        <v>1161</v>
      </c>
      <c r="B6" s="1332" t="e">
        <f ca="1">'Factura Socios Con CE'!B27</f>
        <v>#N/A</v>
      </c>
      <c r="C6" s="1331" t="e">
        <f ca="1">'Factura Socios Con CE'!C27</f>
        <v>#N/A</v>
      </c>
      <c r="D6" s="1331" t="e">
        <f ca="1">'Factura Socios Con CE'!D27</f>
        <v>#N/A</v>
      </c>
      <c r="E6" s="1331" t="e">
        <f ca="1">'Factura Socios Con CE'!E27</f>
        <v>#N/A</v>
      </c>
      <c r="F6" s="1331" t="e">
        <f ca="1">'Factura Socios Con CE'!F27</f>
        <v>#N/A</v>
      </c>
      <c r="G6" s="1331" t="e">
        <f ca="1">'Factura Socios Con CE'!G27</f>
        <v>#N/A</v>
      </c>
      <c r="H6" s="1331" t="e">
        <f ca="1">'Factura Socios Con CE'!H27</f>
        <v>#N/A</v>
      </c>
      <c r="I6" s="1331" t="e">
        <f ca="1">'Factura Socios Con CE'!I27</f>
        <v>#N/A</v>
      </c>
      <c r="J6" s="1331" t="e">
        <f ca="1">'Factura Socios Con CE'!J27</f>
        <v>#N/A</v>
      </c>
      <c r="K6" s="1331" t="e">
        <f ca="1">'Factura Socios Con CE'!K27</f>
        <v>#N/A</v>
      </c>
      <c r="L6" s="1331" t="e">
        <f ca="1">'Factura Socios Con CE'!L27</f>
        <v>#N/A</v>
      </c>
      <c r="M6" s="1331" t="e">
        <f ca="1">'Factura Socios Con CE'!M27</f>
        <v>#N/A</v>
      </c>
      <c r="N6" s="1331" t="e">
        <f ca="1">'Factura Socios Con CE'!N27</f>
        <v>#N/A</v>
      </c>
      <c r="O6" s="1331" t="e">
        <f ca="1">'Factura Socios Con CE'!O27</f>
        <v>#N/A</v>
      </c>
      <c r="P6" s="1331" t="e">
        <f ca="1">'Factura Socios Con CE'!P27</f>
        <v>#N/A</v>
      </c>
      <c r="Q6" s="1331" t="e">
        <f ca="1">'Factura Socios Con CE'!Q27</f>
        <v>#N/A</v>
      </c>
      <c r="R6" s="1331" t="e">
        <f ca="1">'Factura Socios Con CE'!R27</f>
        <v>#N/A</v>
      </c>
      <c r="S6" s="1331" t="e">
        <f ca="1">'Factura Socios Con CE'!S27</f>
        <v>#N/A</v>
      </c>
      <c r="T6" s="1331" t="e">
        <f ca="1">'Factura Socios Con CE'!T27</f>
        <v>#N/A</v>
      </c>
      <c r="U6" s="1331" t="e">
        <f ca="1">'Factura Socios Con CE'!U27</f>
        <v>#N/A</v>
      </c>
      <c r="V6" s="1331" t="e">
        <f ca="1">'Factura Socios Con CE'!V27</f>
        <v>#N/A</v>
      </c>
      <c r="W6" s="1331" t="e">
        <f ca="1">'Factura Socios Con CE'!W27</f>
        <v>#N/A</v>
      </c>
      <c r="X6" s="1331" t="e">
        <f ca="1">'Factura Socios Con CE'!X27</f>
        <v>#N/A</v>
      </c>
      <c r="Y6" s="1331" t="e">
        <f ca="1">'Factura Socios Con CE'!Y27</f>
        <v>#N/A</v>
      </c>
      <c r="Z6" s="1330" t="e">
        <f ca="1">'Factura Socios Con CE'!Z27</f>
        <v>#N/A</v>
      </c>
      <c r="AA6" s="1068" t="e">
        <f ca="1">SUM(B6:Z6)</f>
        <v>#N/A</v>
      </c>
    </row>
    <row r="7" spans="1:27" ht="28.8" x14ac:dyDescent="0.3">
      <c r="A7" s="1271" t="s">
        <v>1160</v>
      </c>
      <c r="B7" s="1322" t="e">
        <f ca="1">'Factura Socios Con CE'!B28</f>
        <v>#N/A</v>
      </c>
      <c r="C7" s="1321" t="e">
        <f ca="1">'Factura Socios Con CE'!C28</f>
        <v>#N/A</v>
      </c>
      <c r="D7" s="1321" t="e">
        <f ca="1">'Factura Socios Con CE'!D28</f>
        <v>#N/A</v>
      </c>
      <c r="E7" s="1321" t="e">
        <f ca="1">'Factura Socios Con CE'!E28</f>
        <v>#N/A</v>
      </c>
      <c r="F7" s="1321" t="e">
        <f ca="1">'Factura Socios Con CE'!F28</f>
        <v>#N/A</v>
      </c>
      <c r="G7" s="1321" t="e">
        <f ca="1">'Factura Socios Con CE'!G28</f>
        <v>#N/A</v>
      </c>
      <c r="H7" s="1321" t="e">
        <f ca="1">'Factura Socios Con CE'!H28</f>
        <v>#N/A</v>
      </c>
      <c r="I7" s="1321" t="e">
        <f ca="1">'Factura Socios Con CE'!I28</f>
        <v>#N/A</v>
      </c>
      <c r="J7" s="1321" t="e">
        <f ca="1">'Factura Socios Con CE'!J28</f>
        <v>#N/A</v>
      </c>
      <c r="K7" s="1321" t="e">
        <f ca="1">'Factura Socios Con CE'!K28</f>
        <v>#N/A</v>
      </c>
      <c r="L7" s="1321" t="e">
        <f ca="1">'Factura Socios Con CE'!L28</f>
        <v>#N/A</v>
      </c>
      <c r="M7" s="1321" t="e">
        <f ca="1">'Factura Socios Con CE'!M28</f>
        <v>#N/A</v>
      </c>
      <c r="N7" s="1321" t="e">
        <f ca="1">'Factura Socios Con CE'!N28</f>
        <v>#N/A</v>
      </c>
      <c r="O7" s="1321" t="e">
        <f ca="1">'Factura Socios Con CE'!O28</f>
        <v>#N/A</v>
      </c>
      <c r="P7" s="1321" t="e">
        <f ca="1">'Factura Socios Con CE'!P28</f>
        <v>#N/A</v>
      </c>
      <c r="Q7" s="1321" t="e">
        <f ca="1">'Factura Socios Con CE'!Q28</f>
        <v>#N/A</v>
      </c>
      <c r="R7" s="1321" t="e">
        <f ca="1">'Factura Socios Con CE'!R28</f>
        <v>#N/A</v>
      </c>
      <c r="S7" s="1321" t="e">
        <f ca="1">'Factura Socios Con CE'!S28</f>
        <v>#N/A</v>
      </c>
      <c r="T7" s="1321" t="e">
        <f ca="1">'Factura Socios Con CE'!T28</f>
        <v>#N/A</v>
      </c>
      <c r="U7" s="1321" t="e">
        <f ca="1">'Factura Socios Con CE'!U28</f>
        <v>#N/A</v>
      </c>
      <c r="V7" s="1321" t="e">
        <f ca="1">'Factura Socios Con CE'!V28</f>
        <v>#N/A</v>
      </c>
      <c r="W7" s="1321" t="e">
        <f ca="1">'Factura Socios Con CE'!W28</f>
        <v>#N/A</v>
      </c>
      <c r="X7" s="1321" t="e">
        <f ca="1">'Factura Socios Con CE'!X28</f>
        <v>#N/A</v>
      </c>
      <c r="Y7" s="1321" t="e">
        <f ca="1">'Factura Socios Con CE'!Y28</f>
        <v>#N/A</v>
      </c>
      <c r="Z7" s="1320" t="e">
        <f ca="1">'Factura Socios Con CE'!Z28</f>
        <v>#N/A</v>
      </c>
      <c r="AA7" s="1068" t="e">
        <f ca="1">SUM(B7:Z7)</f>
        <v>#N/A</v>
      </c>
    </row>
    <row r="8" spans="1:27" ht="15" thickBot="1" x14ac:dyDescent="0.35"/>
    <row r="9" spans="1:27" ht="15.6" thickTop="1" thickBot="1" x14ac:dyDescent="0.35">
      <c r="A9" s="1203" t="s">
        <v>1159</v>
      </c>
      <c r="B9" s="1329" t="e">
        <f t="shared" ref="B9:Z9" ca="1" si="0">-B3+B6+B7</f>
        <v>#N/A</v>
      </c>
      <c r="C9" s="1328" t="e">
        <f t="shared" ca="1" si="0"/>
        <v>#N/A</v>
      </c>
      <c r="D9" s="1328" t="e">
        <f t="shared" ca="1" si="0"/>
        <v>#N/A</v>
      </c>
      <c r="E9" s="1328" t="e">
        <f t="shared" ca="1" si="0"/>
        <v>#N/A</v>
      </c>
      <c r="F9" s="1328" t="e">
        <f t="shared" ca="1" si="0"/>
        <v>#N/A</v>
      </c>
      <c r="G9" s="1328" t="e">
        <f t="shared" ca="1" si="0"/>
        <v>#N/A</v>
      </c>
      <c r="H9" s="1328" t="e">
        <f t="shared" ca="1" si="0"/>
        <v>#N/A</v>
      </c>
      <c r="I9" s="1328" t="e">
        <f t="shared" ca="1" si="0"/>
        <v>#N/A</v>
      </c>
      <c r="J9" s="1328" t="e">
        <f t="shared" ca="1" si="0"/>
        <v>#N/A</v>
      </c>
      <c r="K9" s="1328" t="e">
        <f t="shared" ca="1" si="0"/>
        <v>#N/A</v>
      </c>
      <c r="L9" s="1328" t="e">
        <f t="shared" ca="1" si="0"/>
        <v>#N/A</v>
      </c>
      <c r="M9" s="1328" t="e">
        <f t="shared" ca="1" si="0"/>
        <v>#N/A</v>
      </c>
      <c r="N9" s="1328" t="e">
        <f t="shared" ca="1" si="0"/>
        <v>#N/A</v>
      </c>
      <c r="O9" s="1328" t="e">
        <f t="shared" ca="1" si="0"/>
        <v>#N/A</v>
      </c>
      <c r="P9" s="1328" t="e">
        <f t="shared" ca="1" si="0"/>
        <v>#N/A</v>
      </c>
      <c r="Q9" s="1328" t="e">
        <f t="shared" ca="1" si="0"/>
        <v>#N/A</v>
      </c>
      <c r="R9" s="1328" t="e">
        <f t="shared" ca="1" si="0"/>
        <v>#N/A</v>
      </c>
      <c r="S9" s="1328" t="e">
        <f t="shared" ca="1" si="0"/>
        <v>#N/A</v>
      </c>
      <c r="T9" s="1328" t="e">
        <f t="shared" ca="1" si="0"/>
        <v>#N/A</v>
      </c>
      <c r="U9" s="1328" t="e">
        <f t="shared" ca="1" si="0"/>
        <v>#N/A</v>
      </c>
      <c r="V9" s="1328" t="e">
        <f t="shared" ca="1" si="0"/>
        <v>#N/A</v>
      </c>
      <c r="W9" s="1328" t="e">
        <f t="shared" ca="1" si="0"/>
        <v>#N/A</v>
      </c>
      <c r="X9" s="1328" t="e">
        <f t="shared" ca="1" si="0"/>
        <v>#N/A</v>
      </c>
      <c r="Y9" s="1328" t="e">
        <f t="shared" ca="1" si="0"/>
        <v>#N/A</v>
      </c>
      <c r="Z9" s="1327" t="e">
        <f t="shared" ca="1" si="0"/>
        <v>#N/A</v>
      </c>
      <c r="AA9" s="1152" t="e">
        <f ca="1">SUM(B9:Z9)</f>
        <v>#N/A</v>
      </c>
    </row>
    <row r="10" spans="1:27" ht="29.4" thickBot="1" x14ac:dyDescent="0.35">
      <c r="A10" s="1326" t="str">
        <f>'Resultado Socios'!A3</f>
        <v>Impacto Económico Positivo Total Preciso (Mensual)</v>
      </c>
      <c r="B10" s="1036" t="e">
        <f ca="1">'Resultado Socios'!B$3</f>
        <v>#N/A</v>
      </c>
      <c r="C10" s="1325" t="e">
        <f ca="1">'Resultado Socios'!C$3</f>
        <v>#N/A</v>
      </c>
      <c r="D10" s="1325" t="e">
        <f ca="1">'Resultado Socios'!D$3</f>
        <v>#N/A</v>
      </c>
      <c r="E10" s="1325" t="e">
        <f ca="1">'Resultado Socios'!E$3</f>
        <v>#N/A</v>
      </c>
      <c r="F10" s="1325" t="e">
        <f ca="1">'Resultado Socios'!F$3</f>
        <v>#N/A</v>
      </c>
      <c r="G10" s="1325" t="e">
        <f ca="1">'Resultado Socios'!G$3</f>
        <v>#N/A</v>
      </c>
      <c r="H10" s="1325" t="e">
        <f ca="1">'Resultado Socios'!H$3</f>
        <v>#N/A</v>
      </c>
      <c r="I10" s="1325" t="e">
        <f ca="1">'Resultado Socios'!I$3</f>
        <v>#N/A</v>
      </c>
      <c r="J10" s="1325" t="e">
        <f ca="1">'Resultado Socios'!J$3</f>
        <v>#N/A</v>
      </c>
      <c r="K10" s="1325" t="e">
        <f ca="1">'Resultado Socios'!K$3</f>
        <v>#N/A</v>
      </c>
      <c r="L10" s="1325" t="e">
        <f ca="1">'Resultado Socios'!L$3</f>
        <v>#N/A</v>
      </c>
      <c r="M10" s="1325" t="e">
        <f ca="1">'Resultado Socios'!M$3</f>
        <v>#N/A</v>
      </c>
      <c r="N10" s="1325" t="e">
        <f ca="1">'Resultado Socios'!N$3</f>
        <v>#N/A</v>
      </c>
      <c r="O10" s="1325" t="e">
        <f ca="1">'Resultado Socios'!O$3</f>
        <v>#N/A</v>
      </c>
      <c r="P10" s="1325" t="e">
        <f ca="1">'Resultado Socios'!P$3</f>
        <v>#N/A</v>
      </c>
      <c r="Q10" s="1325" t="e">
        <f ca="1">'Resultado Socios'!Q$3</f>
        <v>#N/A</v>
      </c>
      <c r="R10" s="1325" t="e">
        <f ca="1">'Resultado Socios'!R$3</f>
        <v>#N/A</v>
      </c>
      <c r="S10" s="1325" t="e">
        <f ca="1">'Resultado Socios'!S$3</f>
        <v>#N/A</v>
      </c>
      <c r="T10" s="1325" t="e">
        <f ca="1">'Resultado Socios'!T$3</f>
        <v>#N/A</v>
      </c>
      <c r="U10" s="1325" t="e">
        <f ca="1">'Resultado Socios'!U$3</f>
        <v>#N/A</v>
      </c>
      <c r="V10" s="1325" t="e">
        <f ca="1">'Resultado Socios'!V$3</f>
        <v>#N/A</v>
      </c>
      <c r="W10" s="1325" t="e">
        <f ca="1">'Resultado Socios'!W$3</f>
        <v>#N/A</v>
      </c>
      <c r="X10" s="1325" t="e">
        <f ca="1">'Resultado Socios'!X$3</f>
        <v>#N/A</v>
      </c>
      <c r="Y10" s="1325" t="e">
        <f ca="1">'Resultado Socios'!Y$3</f>
        <v>#N/A</v>
      </c>
      <c r="Z10" s="1324" t="e">
        <f ca="1">'Resultado Socios'!Z$3</f>
        <v>#N/A</v>
      </c>
      <c r="AA10" s="1323" t="e">
        <f ca="1">SUM(B10:Z10)</f>
        <v>#N/A</v>
      </c>
    </row>
    <row r="12" spans="1:27" ht="28.8" x14ac:dyDescent="0.3">
      <c r="A12" s="1271" t="s">
        <v>1158</v>
      </c>
      <c r="B12" s="1322" t="e">
        <f t="shared" ref="B12:Z12" ca="1" si="1">B9-B10</f>
        <v>#N/A</v>
      </c>
      <c r="C12" s="1321" t="e">
        <f t="shared" ca="1" si="1"/>
        <v>#N/A</v>
      </c>
      <c r="D12" s="1321" t="e">
        <f t="shared" ca="1" si="1"/>
        <v>#N/A</v>
      </c>
      <c r="E12" s="1321" t="e">
        <f t="shared" ca="1" si="1"/>
        <v>#N/A</v>
      </c>
      <c r="F12" s="1321" t="e">
        <f t="shared" ca="1" si="1"/>
        <v>#N/A</v>
      </c>
      <c r="G12" s="1321" t="e">
        <f t="shared" ca="1" si="1"/>
        <v>#N/A</v>
      </c>
      <c r="H12" s="1321" t="e">
        <f t="shared" ca="1" si="1"/>
        <v>#N/A</v>
      </c>
      <c r="I12" s="1321" t="e">
        <f t="shared" ca="1" si="1"/>
        <v>#N/A</v>
      </c>
      <c r="J12" s="1321" t="e">
        <f t="shared" ca="1" si="1"/>
        <v>#N/A</v>
      </c>
      <c r="K12" s="1321" t="e">
        <f t="shared" ca="1" si="1"/>
        <v>#N/A</v>
      </c>
      <c r="L12" s="1321" t="e">
        <f t="shared" ca="1" si="1"/>
        <v>#N/A</v>
      </c>
      <c r="M12" s="1321" t="e">
        <f t="shared" ca="1" si="1"/>
        <v>#N/A</v>
      </c>
      <c r="N12" s="1321" t="e">
        <f t="shared" ca="1" si="1"/>
        <v>#N/A</v>
      </c>
      <c r="O12" s="1321" t="e">
        <f t="shared" ca="1" si="1"/>
        <v>#N/A</v>
      </c>
      <c r="P12" s="1321" t="e">
        <f t="shared" ca="1" si="1"/>
        <v>#N/A</v>
      </c>
      <c r="Q12" s="1321" t="e">
        <f t="shared" ca="1" si="1"/>
        <v>#N/A</v>
      </c>
      <c r="R12" s="1321" t="e">
        <f t="shared" ca="1" si="1"/>
        <v>#N/A</v>
      </c>
      <c r="S12" s="1321" t="e">
        <f t="shared" ca="1" si="1"/>
        <v>#N/A</v>
      </c>
      <c r="T12" s="1321" t="e">
        <f t="shared" ca="1" si="1"/>
        <v>#N/A</v>
      </c>
      <c r="U12" s="1321" t="e">
        <f t="shared" ca="1" si="1"/>
        <v>#N/A</v>
      </c>
      <c r="V12" s="1321" t="e">
        <f t="shared" ca="1" si="1"/>
        <v>#N/A</v>
      </c>
      <c r="W12" s="1321" t="e">
        <f t="shared" ca="1" si="1"/>
        <v>#N/A</v>
      </c>
      <c r="X12" s="1321" t="e">
        <f t="shared" ca="1" si="1"/>
        <v>#N/A</v>
      </c>
      <c r="Y12" s="1321" t="e">
        <f t="shared" ca="1" si="1"/>
        <v>#N/A</v>
      </c>
      <c r="Z12" s="1320" t="e">
        <f t="shared" ca="1" si="1"/>
        <v>#N/A</v>
      </c>
      <c r="AA12" s="1068" t="e">
        <f ca="1">SUM(B12:Z12)</f>
        <v>#N/A</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24BE-4B50-4C3D-A068-B0256FD57DD7}">
  <dimension ref="A1:AA14"/>
  <sheetViews>
    <sheetView workbookViewId="0">
      <selection activeCell="F72" sqref="F72:AD72"/>
    </sheetView>
  </sheetViews>
  <sheetFormatPr baseColWidth="10" defaultColWidth="11.5546875" defaultRowHeight="14.4" x14ac:dyDescent="0.3"/>
  <cols>
    <col min="1" max="1" width="43.5546875" customWidth="1"/>
    <col min="27" max="27" width="11.44140625" bestFit="1" customWidth="1"/>
  </cols>
  <sheetData>
    <row r="1" spans="1:27" ht="29.4" thickBot="1" x14ac:dyDescent="0.35">
      <c r="A1" s="1337" t="s">
        <v>1136</v>
      </c>
      <c r="B1" s="1336">
        <v>1</v>
      </c>
      <c r="C1" s="1336">
        <v>2</v>
      </c>
      <c r="D1" s="1336">
        <v>3</v>
      </c>
      <c r="E1" s="1336">
        <v>4</v>
      </c>
      <c r="F1" s="1336">
        <v>5</v>
      </c>
      <c r="G1" s="1336">
        <v>6</v>
      </c>
      <c r="H1" s="1336">
        <v>7</v>
      </c>
      <c r="I1" s="1336">
        <v>8</v>
      </c>
      <c r="J1" s="1336">
        <v>9</v>
      </c>
      <c r="K1" s="1336">
        <v>10</v>
      </c>
      <c r="L1" s="1336">
        <v>11</v>
      </c>
      <c r="M1" s="1336">
        <v>12</v>
      </c>
      <c r="N1" s="1336">
        <v>13</v>
      </c>
      <c r="O1" s="1336">
        <v>14</v>
      </c>
      <c r="P1" s="1336">
        <v>15</v>
      </c>
      <c r="Q1" s="1336">
        <v>16</v>
      </c>
      <c r="R1" s="1336">
        <v>17</v>
      </c>
      <c r="S1" s="1336">
        <v>18</v>
      </c>
      <c r="T1" s="1336">
        <v>19</v>
      </c>
      <c r="U1" s="1336">
        <v>20</v>
      </c>
      <c r="V1" s="1336">
        <v>21</v>
      </c>
      <c r="W1" s="1336">
        <v>22</v>
      </c>
      <c r="X1" s="1336">
        <v>23</v>
      </c>
      <c r="Y1" s="1336">
        <v>24</v>
      </c>
      <c r="Z1" s="1336">
        <v>25</v>
      </c>
      <c r="AA1" s="1335" t="s">
        <v>1164</v>
      </c>
    </row>
    <row r="2" spans="1:27" ht="15" thickBot="1" x14ac:dyDescent="0.35">
      <c r="A2" s="65" t="s">
        <v>568</v>
      </c>
    </row>
    <row r="3" spans="1:27" ht="29.4" thickBot="1" x14ac:dyDescent="0.35">
      <c r="A3" s="1362" t="s">
        <v>1172</v>
      </c>
      <c r="B3" s="1346" t="e">
        <f t="shared" ref="B3:Z3" ca="1" si="0">B12+B9</f>
        <v>#N/A</v>
      </c>
      <c r="C3" s="1361" t="e">
        <f t="shared" ca="1" si="0"/>
        <v>#N/A</v>
      </c>
      <c r="D3" s="1361" t="e">
        <f t="shared" ca="1" si="0"/>
        <v>#N/A</v>
      </c>
      <c r="E3" s="1361" t="e">
        <f t="shared" ca="1" si="0"/>
        <v>#N/A</v>
      </c>
      <c r="F3" s="1361" t="e">
        <f t="shared" ca="1" si="0"/>
        <v>#N/A</v>
      </c>
      <c r="G3" s="1361" t="e">
        <f t="shared" ca="1" si="0"/>
        <v>#N/A</v>
      </c>
      <c r="H3" s="1361" t="e">
        <f t="shared" ca="1" si="0"/>
        <v>#N/A</v>
      </c>
      <c r="I3" s="1361" t="e">
        <f t="shared" ca="1" si="0"/>
        <v>#N/A</v>
      </c>
      <c r="J3" s="1361" t="e">
        <f t="shared" ca="1" si="0"/>
        <v>#N/A</v>
      </c>
      <c r="K3" s="1361" t="e">
        <f t="shared" ca="1" si="0"/>
        <v>#N/A</v>
      </c>
      <c r="L3" s="1361" t="e">
        <f t="shared" ca="1" si="0"/>
        <v>#N/A</v>
      </c>
      <c r="M3" s="1361" t="e">
        <f t="shared" ca="1" si="0"/>
        <v>#N/A</v>
      </c>
      <c r="N3" s="1361" t="e">
        <f t="shared" ca="1" si="0"/>
        <v>#N/A</v>
      </c>
      <c r="O3" s="1361" t="e">
        <f t="shared" ca="1" si="0"/>
        <v>#N/A</v>
      </c>
      <c r="P3" s="1361" t="e">
        <f t="shared" ca="1" si="0"/>
        <v>#N/A</v>
      </c>
      <c r="Q3" s="1361" t="e">
        <f t="shared" ca="1" si="0"/>
        <v>#N/A</v>
      </c>
      <c r="R3" s="1361" t="e">
        <f t="shared" ca="1" si="0"/>
        <v>#N/A</v>
      </c>
      <c r="S3" s="1361" t="e">
        <f t="shared" ca="1" si="0"/>
        <v>#N/A</v>
      </c>
      <c r="T3" s="1361" t="e">
        <f t="shared" ca="1" si="0"/>
        <v>#N/A</v>
      </c>
      <c r="U3" s="1361" t="e">
        <f t="shared" ca="1" si="0"/>
        <v>#N/A</v>
      </c>
      <c r="V3" s="1361" t="e">
        <f t="shared" ca="1" si="0"/>
        <v>#N/A</v>
      </c>
      <c r="W3" s="1361" t="e">
        <f t="shared" ca="1" si="0"/>
        <v>#N/A</v>
      </c>
      <c r="X3" s="1361" t="e">
        <f t="shared" ca="1" si="0"/>
        <v>#N/A</v>
      </c>
      <c r="Y3" s="1361" t="e">
        <f t="shared" ca="1" si="0"/>
        <v>#N/A</v>
      </c>
      <c r="Z3" s="1360" t="e">
        <f t="shared" ca="1" si="0"/>
        <v>#N/A</v>
      </c>
      <c r="AA3" s="1359" t="e">
        <f ca="1">SUM(B3:Z3)</f>
        <v>#N/A</v>
      </c>
    </row>
    <row r="4" spans="1:27" ht="29.4" thickBot="1" x14ac:dyDescent="0.35">
      <c r="A4" s="645" t="s">
        <v>1171</v>
      </c>
    </row>
    <row r="5" spans="1:27" ht="15" thickBot="1" x14ac:dyDescent="0.35"/>
    <row r="6" spans="1:27" x14ac:dyDescent="0.3">
      <c r="A6" s="804" t="s">
        <v>1170</v>
      </c>
      <c r="B6" s="1358">
        <f>'Hipóteses xerais (2)'!$F$40</f>
        <v>0</v>
      </c>
      <c r="C6" s="1358">
        <f>'Hipóteses xerais (2)'!$F$40</f>
        <v>0</v>
      </c>
      <c r="D6" s="1358">
        <f>'Hipóteses xerais (2)'!$F$40</f>
        <v>0</v>
      </c>
      <c r="E6" s="1358">
        <f>'Hipóteses xerais (2)'!$F$40</f>
        <v>0</v>
      </c>
      <c r="F6" s="1358">
        <f>'Hipóteses xerais (2)'!$F$40</f>
        <v>0</v>
      </c>
      <c r="G6" s="1358">
        <f>'Hipóteses xerais (2)'!$F$40</f>
        <v>0</v>
      </c>
      <c r="H6" s="1358">
        <f>'Hipóteses xerais (2)'!$F$40</f>
        <v>0</v>
      </c>
      <c r="I6" s="1358">
        <f>'Hipóteses xerais (2)'!$F$40</f>
        <v>0</v>
      </c>
      <c r="J6" s="1358">
        <f>'Hipóteses xerais (2)'!$F$40</f>
        <v>0</v>
      </c>
      <c r="K6" s="1358">
        <f>'Hipóteses xerais (2)'!$F$40</f>
        <v>0</v>
      </c>
      <c r="L6" s="1358">
        <f>'Hipóteses xerais (2)'!$F$40</f>
        <v>0</v>
      </c>
      <c r="M6" s="1358">
        <f>'Hipóteses xerais (2)'!$F$40</f>
        <v>0</v>
      </c>
      <c r="N6" s="1358">
        <f>'Hipóteses xerais (2)'!$F$40</f>
        <v>0</v>
      </c>
      <c r="O6" s="1358">
        <f>'Hipóteses xerais (2)'!$F$40</f>
        <v>0</v>
      </c>
      <c r="P6" s="1358">
        <f>'Hipóteses xerais (2)'!$F$40</f>
        <v>0</v>
      </c>
      <c r="Q6" s="1358">
        <f>'Hipóteses xerais (2)'!$F$40</f>
        <v>0</v>
      </c>
      <c r="R6" s="1358">
        <f>'Hipóteses xerais (2)'!$F$40</f>
        <v>0</v>
      </c>
      <c r="S6" s="1358">
        <f>'Hipóteses xerais (2)'!$F$40</f>
        <v>0</v>
      </c>
      <c r="T6" s="1358">
        <f>'Hipóteses xerais (2)'!$F$40</f>
        <v>0</v>
      </c>
      <c r="U6" s="1358">
        <f>'Hipóteses xerais (2)'!$F$40</f>
        <v>0</v>
      </c>
      <c r="V6" s="1358">
        <f>'Hipóteses xerais (2)'!$F$40</f>
        <v>0</v>
      </c>
      <c r="W6" s="1358">
        <f>'Hipóteses xerais (2)'!$F$40</f>
        <v>0</v>
      </c>
      <c r="X6" s="1358">
        <f>'Hipóteses xerais (2)'!$F$40</f>
        <v>0</v>
      </c>
      <c r="Y6" s="896">
        <f>'Hipóteses xerais (2)'!$F$40</f>
        <v>0</v>
      </c>
      <c r="Z6" s="1050">
        <f>'Hipóteses xerais (2)'!$F$40</f>
        <v>0</v>
      </c>
      <c r="AA6" s="1357">
        <f>SUM(B6:Z6)</f>
        <v>0</v>
      </c>
    </row>
    <row r="7" spans="1:27" x14ac:dyDescent="0.3">
      <c r="A7" s="797" t="s">
        <v>1169</v>
      </c>
      <c r="B7" s="1099" t="e">
        <f>'Hipóteses xerais (2)'!$F$41</f>
        <v>#N/A</v>
      </c>
      <c r="C7" s="1099" t="e">
        <f>'Hipóteses xerais (2)'!$F$41</f>
        <v>#N/A</v>
      </c>
      <c r="D7" s="1099" t="e">
        <f>'Hipóteses xerais (2)'!$F$41</f>
        <v>#N/A</v>
      </c>
      <c r="E7" s="1099" t="e">
        <f>'Hipóteses xerais (2)'!$F$41</f>
        <v>#N/A</v>
      </c>
      <c r="F7" s="1099" t="e">
        <f>'Hipóteses xerais (2)'!$F$41</f>
        <v>#N/A</v>
      </c>
      <c r="G7" s="1099" t="e">
        <f>'Hipóteses xerais (2)'!$F$41</f>
        <v>#N/A</v>
      </c>
      <c r="H7" s="1099" t="e">
        <f>'Hipóteses xerais (2)'!$F$41</f>
        <v>#N/A</v>
      </c>
      <c r="I7" s="1099" t="e">
        <f>'Hipóteses xerais (2)'!$F$41</f>
        <v>#N/A</v>
      </c>
      <c r="J7" s="1099" t="e">
        <f>'Hipóteses xerais (2)'!$F$41</f>
        <v>#N/A</v>
      </c>
      <c r="K7" s="1099" t="e">
        <f>'Hipóteses xerais (2)'!$F$41</f>
        <v>#N/A</v>
      </c>
      <c r="L7" s="1099" t="e">
        <f>'Hipóteses xerais (2)'!$F$41</f>
        <v>#N/A</v>
      </c>
      <c r="M7" s="1099" t="e">
        <f>'Hipóteses xerais (2)'!$F$41</f>
        <v>#N/A</v>
      </c>
      <c r="N7" s="1099" t="e">
        <f>'Hipóteses xerais (2)'!$F$41</f>
        <v>#N/A</v>
      </c>
      <c r="O7" s="1099" t="e">
        <f>'Hipóteses xerais (2)'!$F$41</f>
        <v>#N/A</v>
      </c>
      <c r="P7" s="1099" t="e">
        <f>'Hipóteses xerais (2)'!$F$41</f>
        <v>#N/A</v>
      </c>
      <c r="Q7" s="1099" t="e">
        <f>'Hipóteses xerais (2)'!$F$41</f>
        <v>#N/A</v>
      </c>
      <c r="R7" s="1099" t="e">
        <f>'Hipóteses xerais (2)'!$F$41</f>
        <v>#N/A</v>
      </c>
      <c r="S7" s="1099" t="e">
        <f>'Hipóteses xerais (2)'!$F$41</f>
        <v>#N/A</v>
      </c>
      <c r="T7" s="1099" t="e">
        <f>'Hipóteses xerais (2)'!$F$41</f>
        <v>#N/A</v>
      </c>
      <c r="U7" s="1099" t="e">
        <f>'Hipóteses xerais (2)'!$F$41</f>
        <v>#N/A</v>
      </c>
      <c r="V7" s="1099" t="e">
        <f>'Hipóteses xerais (2)'!$F$41</f>
        <v>#N/A</v>
      </c>
      <c r="W7" s="1099" t="e">
        <f>'Hipóteses xerais (2)'!$F$41</f>
        <v>#N/A</v>
      </c>
      <c r="X7" s="1099" t="e">
        <f>'Hipóteses xerais (2)'!$F$41</f>
        <v>#N/A</v>
      </c>
      <c r="Y7" s="1356" t="e">
        <f>'Hipóteses xerais (2)'!$F$41</f>
        <v>#N/A</v>
      </c>
      <c r="Z7" s="1046" t="e">
        <f>'Hipóteses xerais (2)'!$F$41</f>
        <v>#N/A</v>
      </c>
      <c r="AA7" s="1355" t="e">
        <f>SUM(B7:Z7)</f>
        <v>#N/A</v>
      </c>
    </row>
    <row r="8" spans="1:27" s="10" customFormat="1" ht="29.4" thickBot="1" x14ac:dyDescent="0.35">
      <c r="A8" s="1143" t="s">
        <v>1168</v>
      </c>
      <c r="B8" s="1354">
        <f>'Hipóteses xerais (2)'!$F$42</f>
        <v>0</v>
      </c>
      <c r="C8" s="1354">
        <f>'Hipóteses xerais (2)'!$F$42</f>
        <v>0</v>
      </c>
      <c r="D8" s="1354">
        <f>'Hipóteses xerais (2)'!$F$42</f>
        <v>0</v>
      </c>
      <c r="E8" s="1354">
        <f>'Hipóteses xerais (2)'!$F$42</f>
        <v>0</v>
      </c>
      <c r="F8" s="1354">
        <f>'Hipóteses xerais (2)'!$F$42</f>
        <v>0</v>
      </c>
      <c r="G8" s="1354">
        <f>'Hipóteses xerais (2)'!$F$42</f>
        <v>0</v>
      </c>
      <c r="H8" s="1354">
        <f>'Hipóteses xerais (2)'!$F$42</f>
        <v>0</v>
      </c>
      <c r="I8" s="1354">
        <f>'Hipóteses xerais (2)'!$F$42</f>
        <v>0</v>
      </c>
      <c r="J8" s="1354">
        <f>'Hipóteses xerais (2)'!$F$42</f>
        <v>0</v>
      </c>
      <c r="K8" s="1354">
        <f>'Hipóteses xerais (2)'!$F$42</f>
        <v>0</v>
      </c>
      <c r="L8" s="1354">
        <f>'Hipóteses xerais (2)'!$F$42</f>
        <v>0</v>
      </c>
      <c r="M8" s="1354">
        <f>'Hipóteses xerais (2)'!$F$42</f>
        <v>0</v>
      </c>
      <c r="N8" s="1354">
        <f>'Hipóteses xerais (2)'!$F$42</f>
        <v>0</v>
      </c>
      <c r="O8" s="1354">
        <f>'Hipóteses xerais (2)'!$F$42</f>
        <v>0</v>
      </c>
      <c r="P8" s="1354">
        <f>'Hipóteses xerais (2)'!$F$42</f>
        <v>0</v>
      </c>
      <c r="Q8" s="1354">
        <f>'Hipóteses xerais (2)'!$F$42</f>
        <v>0</v>
      </c>
      <c r="R8" s="1354">
        <f>'Hipóteses xerais (2)'!$F$42</f>
        <v>0</v>
      </c>
      <c r="S8" s="1354">
        <f>'Hipóteses xerais (2)'!$F$42</f>
        <v>0</v>
      </c>
      <c r="T8" s="1354">
        <f>'Hipóteses xerais (2)'!$F$42</f>
        <v>0</v>
      </c>
      <c r="U8" s="1354">
        <f>'Hipóteses xerais (2)'!$F$42</f>
        <v>0</v>
      </c>
      <c r="V8" s="1354">
        <f>'Hipóteses xerais (2)'!$F$42</f>
        <v>0</v>
      </c>
      <c r="W8" s="1354">
        <f>'Hipóteses xerais (2)'!$F$42</f>
        <v>0</v>
      </c>
      <c r="X8" s="1354">
        <f>'Hipóteses xerais (2)'!$F$42</f>
        <v>0</v>
      </c>
      <c r="Y8" s="1353">
        <f>'Hipóteses xerais (2)'!$F$42</f>
        <v>0</v>
      </c>
      <c r="Z8" s="1352">
        <f>'Hipóteses xerais (2)'!$F$42</f>
        <v>0</v>
      </c>
      <c r="AA8" s="1351">
        <f>SUM(B8:Z8)</f>
        <v>0</v>
      </c>
    </row>
    <row r="9" spans="1:27" s="10" customFormat="1" ht="29.4" thickBot="1" x14ac:dyDescent="0.35">
      <c r="A9" s="1350" t="s">
        <v>1167</v>
      </c>
      <c r="B9" s="1349" t="e">
        <f t="shared" ref="B9:Z9" si="1">SUM(B6:B8)</f>
        <v>#N/A</v>
      </c>
      <c r="C9" s="1348" t="e">
        <f t="shared" si="1"/>
        <v>#N/A</v>
      </c>
      <c r="D9" s="1348" t="e">
        <f t="shared" si="1"/>
        <v>#N/A</v>
      </c>
      <c r="E9" s="1348" t="e">
        <f t="shared" si="1"/>
        <v>#N/A</v>
      </c>
      <c r="F9" s="1348" t="e">
        <f t="shared" si="1"/>
        <v>#N/A</v>
      </c>
      <c r="G9" s="1348" t="e">
        <f t="shared" si="1"/>
        <v>#N/A</v>
      </c>
      <c r="H9" s="1348" t="e">
        <f t="shared" si="1"/>
        <v>#N/A</v>
      </c>
      <c r="I9" s="1348" t="e">
        <f t="shared" si="1"/>
        <v>#N/A</v>
      </c>
      <c r="J9" s="1348" t="e">
        <f t="shared" si="1"/>
        <v>#N/A</v>
      </c>
      <c r="K9" s="1348" t="e">
        <f t="shared" si="1"/>
        <v>#N/A</v>
      </c>
      <c r="L9" s="1348" t="e">
        <f t="shared" si="1"/>
        <v>#N/A</v>
      </c>
      <c r="M9" s="1348" t="e">
        <f t="shared" si="1"/>
        <v>#N/A</v>
      </c>
      <c r="N9" s="1348" t="e">
        <f t="shared" si="1"/>
        <v>#N/A</v>
      </c>
      <c r="O9" s="1348" t="e">
        <f t="shared" si="1"/>
        <v>#N/A</v>
      </c>
      <c r="P9" s="1348" t="e">
        <f t="shared" si="1"/>
        <v>#N/A</v>
      </c>
      <c r="Q9" s="1348" t="e">
        <f t="shared" si="1"/>
        <v>#N/A</v>
      </c>
      <c r="R9" s="1348" t="e">
        <f t="shared" si="1"/>
        <v>#N/A</v>
      </c>
      <c r="S9" s="1348" t="e">
        <f t="shared" si="1"/>
        <v>#N/A</v>
      </c>
      <c r="T9" s="1348" t="e">
        <f t="shared" si="1"/>
        <v>#N/A</v>
      </c>
      <c r="U9" s="1348" t="e">
        <f t="shared" si="1"/>
        <v>#N/A</v>
      </c>
      <c r="V9" s="1348" t="e">
        <f t="shared" si="1"/>
        <v>#N/A</v>
      </c>
      <c r="W9" s="1348" t="e">
        <f t="shared" si="1"/>
        <v>#N/A</v>
      </c>
      <c r="X9" s="1348" t="e">
        <f t="shared" si="1"/>
        <v>#N/A</v>
      </c>
      <c r="Y9" s="1347" t="e">
        <f t="shared" si="1"/>
        <v>#N/A</v>
      </c>
      <c r="Z9" s="1346" t="e">
        <f t="shared" si="1"/>
        <v>#N/A</v>
      </c>
      <c r="AA9" s="1345" t="e">
        <f>SUM(B9:Z9)</f>
        <v>#N/A</v>
      </c>
    </row>
    <row r="11" spans="1:27" ht="15" thickBot="1" x14ac:dyDescent="0.35"/>
    <row r="12" spans="1:27" ht="29.4" thickBot="1" x14ac:dyDescent="0.35">
      <c r="A12" s="1344" t="s">
        <v>1166</v>
      </c>
      <c r="B12" s="1343">
        <f ca="1">'Factura Socios Sen CE'!B17*'Resultado Socios'!B14</f>
        <v>7.1539139596145844</v>
      </c>
      <c r="C12" s="1107">
        <f ca="1">'Factura Socios Sen CE'!C17*'Resultado Socios'!C14</f>
        <v>2.8977389596145837</v>
      </c>
      <c r="D12" s="1107">
        <f ca="1">'Factura Socios Sen CE'!D17*'Resultado Socios'!D14</f>
        <v>8.0659514596145865</v>
      </c>
      <c r="E12" s="1107">
        <f ca="1">'Factura Socios Sen CE'!E17*'Resultado Socios'!E14</f>
        <v>6.594530959614584</v>
      </c>
      <c r="F12" s="1107">
        <f ca="1">'Factura Socios Sen CE'!F17*'Resultado Socios'!F14</f>
        <v>6.2905184596145842</v>
      </c>
      <c r="G12" s="1107">
        <f ca="1">'Factura Socios Sen CE'!G17*'Resultado Socios'!G14</f>
        <v>6.3513209596145845</v>
      </c>
      <c r="H12" s="1107">
        <f ca="1">'Factura Socios Sen CE'!H17*'Resultado Socios'!H14</f>
        <v>4.8799004596145847</v>
      </c>
      <c r="I12" s="1107">
        <f ca="1">'Factura Socios Sen CE'!I17*'Resultado Socios'!I14</f>
        <v>6.497246959614583</v>
      </c>
      <c r="J12" s="1107">
        <f ca="1">'Factura Socios Sen CE'!J17*'Resultado Socios'!J14</f>
        <v>3.1895909596145837</v>
      </c>
      <c r="K12" s="1107">
        <f ca="1">'Factura Socios Sen CE'!K17*'Resultado Socios'!K14</f>
        <v>6.010826959614584</v>
      </c>
      <c r="L12" s="1107">
        <f ca="1">'Factura Socios Sen CE'!L17*'Resultado Socios'!L14</f>
        <v>3.2747144596145841</v>
      </c>
      <c r="M12" s="1107">
        <f ca="1">'Factura Socios Sen CE'!M17*'Resultado Socios'!M14</f>
        <v>7.6160129596145856</v>
      </c>
      <c r="N12" s="1107">
        <f ca="1">'Factura Socios Sen CE'!N17*'Resultado Socios'!N14</f>
        <v>6.6918149596145842</v>
      </c>
      <c r="O12" s="1107">
        <f ca="1">'Factura Socios Sen CE'!O17*'Resultado Socios'!O14</f>
        <v>7.944346459614585</v>
      </c>
      <c r="P12" s="1107">
        <f ca="1">'Factura Socios Sen CE'!P17*'Resultado Socios'!P14</f>
        <v>3.4571219596145841</v>
      </c>
      <c r="Q12" s="1107">
        <f ca="1">'Factura Socios Sen CE'!Q17*'Resultado Socios'!Q14</f>
        <v>4.6731719596145842</v>
      </c>
      <c r="R12" s="1107">
        <f ca="1">'Factura Socios Sen CE'!R17*'Resultado Socios'!R14</f>
        <v>3.5544059596145838</v>
      </c>
      <c r="S12" s="1107">
        <f ca="1">'Factura Socios Sen CE'!S17*'Resultado Socios'!S14</f>
        <v>5.2082339596145841</v>
      </c>
      <c r="T12" s="1107">
        <f ca="1">'Factura Socios Sen CE'!T17*'Resultado Socios'!T14</f>
        <v>8.0781119596145832</v>
      </c>
      <c r="U12" s="1107">
        <f ca="1">'Factura Socios Sen CE'!U17*'Resultado Socios'!U14</f>
        <v>6.8499014596145855</v>
      </c>
      <c r="V12" s="1107">
        <f ca="1">'Factura Socios Sen CE'!V17*'Resultado Socios'!V14</f>
        <v>3.8584184596145832</v>
      </c>
      <c r="W12" s="1107">
        <f ca="1">'Factura Socios Sen CE'!W17*'Resultado Socios'!W14</f>
        <v>4.9163819596145846</v>
      </c>
      <c r="X12" s="1107">
        <f ca="1">'Factura Socios Sen CE'!X17*'Resultado Socios'!X14</f>
        <v>3.0436649596145835</v>
      </c>
      <c r="Y12" s="1107">
        <f ca="1">'Factura Socios Sen CE'!Y17*'Resultado Socios'!Y14</f>
        <v>6.241876459614585</v>
      </c>
      <c r="Z12" s="1123">
        <f ca="1">'Factura Socios Sen CE'!Z17*'Resultado Socios'!Z14</f>
        <v>6.5458889596145839</v>
      </c>
      <c r="AA12" s="1342">
        <f ca="1">SUM(B12:Z12)</f>
        <v>139.88560699036461</v>
      </c>
    </row>
    <row r="13" spans="1:27" ht="15" thickBot="1" x14ac:dyDescent="0.35"/>
    <row r="14" spans="1:27" ht="43.8" thickBot="1" x14ac:dyDescent="0.35">
      <c r="A14" s="1326" t="s">
        <v>1165</v>
      </c>
      <c r="B14" s="1341">
        <f>'Datos Socios'!$F$14</f>
        <v>0.1</v>
      </c>
      <c r="C14" s="1340">
        <f>'Datos Socios'!$F$14</f>
        <v>0.1</v>
      </c>
      <c r="D14" s="1340">
        <f>'Datos Socios'!$F$14</f>
        <v>0.1</v>
      </c>
      <c r="E14" s="1340">
        <f>'Datos Socios'!$F$14</f>
        <v>0.1</v>
      </c>
      <c r="F14" s="1340">
        <f>'Datos Socios'!$F$14</f>
        <v>0.1</v>
      </c>
      <c r="G14" s="1340">
        <f>'Datos Socios'!$F$14</f>
        <v>0.1</v>
      </c>
      <c r="H14" s="1340">
        <f>'Datos Socios'!$F$14</f>
        <v>0.1</v>
      </c>
      <c r="I14" s="1340">
        <f>'Datos Socios'!$F$14</f>
        <v>0.1</v>
      </c>
      <c r="J14" s="1340">
        <f>'Datos Socios'!$F$14</f>
        <v>0.1</v>
      </c>
      <c r="K14" s="1340">
        <f>'Datos Socios'!$F$14</f>
        <v>0.1</v>
      </c>
      <c r="L14" s="1340">
        <f>'Datos Socios'!$F$14</f>
        <v>0.1</v>
      </c>
      <c r="M14" s="1340">
        <f>'Datos Socios'!$F$14</f>
        <v>0.1</v>
      </c>
      <c r="N14" s="1340">
        <f>'Datos Socios'!$F$14</f>
        <v>0.1</v>
      </c>
      <c r="O14" s="1340">
        <f>'Datos Socios'!$F$14</f>
        <v>0.1</v>
      </c>
      <c r="P14" s="1340">
        <f>'Datos Socios'!$F$14</f>
        <v>0.1</v>
      </c>
      <c r="Q14" s="1340">
        <f>'Datos Socios'!$F$14</f>
        <v>0.1</v>
      </c>
      <c r="R14" s="1340">
        <f>'Datos Socios'!$F$14</f>
        <v>0.1</v>
      </c>
      <c r="S14" s="1340">
        <f>'Datos Socios'!$F$14</f>
        <v>0.1</v>
      </c>
      <c r="T14" s="1340">
        <f>'Datos Socios'!$F$14</f>
        <v>0.1</v>
      </c>
      <c r="U14" s="1340">
        <f>'Datos Socios'!$F$14</f>
        <v>0.1</v>
      </c>
      <c r="V14" s="1340">
        <f>'Datos Socios'!$F$14</f>
        <v>0.1</v>
      </c>
      <c r="W14" s="1340">
        <f>'Datos Socios'!$F$14</f>
        <v>0.1</v>
      </c>
      <c r="X14" s="1340">
        <f>'Datos Socios'!$F$14</f>
        <v>0.1</v>
      </c>
      <c r="Y14" s="1340">
        <f>'Datos Socios'!$F$14</f>
        <v>0.1</v>
      </c>
      <c r="Z14" s="1339">
        <f>'Datos Socios'!$F$14</f>
        <v>0.1</v>
      </c>
      <c r="AA14" s="1338">
        <f ca="1">AA12/'Factura Socios Sen CE'!AA17</f>
        <v>9.9999999999999992E-2</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C9A2-D44A-49C7-8451-D15B528BEC9D}">
  <sheetPr>
    <tabColor rgb="FF7030A0"/>
  </sheetPr>
  <dimension ref="A1:AA26"/>
  <sheetViews>
    <sheetView workbookViewId="0">
      <selection activeCell="D5" sqref="D5"/>
    </sheetView>
  </sheetViews>
  <sheetFormatPr baseColWidth="10" defaultColWidth="11.5546875" defaultRowHeight="14.4" x14ac:dyDescent="0.3"/>
  <cols>
    <col min="1" max="1" width="53.44140625" bestFit="1" customWidth="1"/>
    <col min="2" max="2" width="12.33203125" bestFit="1" customWidth="1"/>
    <col min="3" max="3" width="13.88671875" customWidth="1"/>
    <col min="27" max="27" width="11.33203125" bestFit="1" customWidth="1"/>
  </cols>
  <sheetData>
    <row r="1" spans="1:27" x14ac:dyDescent="0.3">
      <c r="B1" s="169" t="s">
        <v>1136</v>
      </c>
      <c r="C1" s="1261"/>
    </row>
    <row r="2" spans="1:27" ht="43.2" x14ac:dyDescent="0.3">
      <c r="B2" s="389">
        <v>1</v>
      </c>
      <c r="C2" s="389">
        <v>2</v>
      </c>
      <c r="D2" s="389">
        <v>3</v>
      </c>
      <c r="E2" s="389">
        <v>4</v>
      </c>
      <c r="F2" s="389">
        <v>5</v>
      </c>
      <c r="G2" s="389">
        <v>6</v>
      </c>
      <c r="H2" s="389">
        <v>7</v>
      </c>
      <c r="I2" s="389">
        <v>8</v>
      </c>
      <c r="J2" s="389">
        <v>9</v>
      </c>
      <c r="K2" s="389">
        <v>10</v>
      </c>
      <c r="L2" s="389">
        <v>11</v>
      </c>
      <c r="M2" s="389">
        <v>12</v>
      </c>
      <c r="N2" s="389">
        <v>13</v>
      </c>
      <c r="O2" s="389">
        <v>14</v>
      </c>
      <c r="P2" s="389">
        <v>15</v>
      </c>
      <c r="Q2" s="389">
        <v>16</v>
      </c>
      <c r="R2" s="389">
        <v>17</v>
      </c>
      <c r="S2" s="389">
        <v>18</v>
      </c>
      <c r="T2" s="389">
        <v>19</v>
      </c>
      <c r="U2" s="389">
        <v>20</v>
      </c>
      <c r="V2" s="389">
        <v>21</v>
      </c>
      <c r="W2" s="389">
        <v>22</v>
      </c>
      <c r="X2" s="389">
        <v>23</v>
      </c>
      <c r="Y2" s="389">
        <v>24</v>
      </c>
      <c r="Z2" s="389">
        <v>25</v>
      </c>
      <c r="AA2" s="389" t="s">
        <v>1128</v>
      </c>
    </row>
    <row r="3" spans="1:27" x14ac:dyDescent="0.3">
      <c r="A3" s="411" t="s">
        <v>571</v>
      </c>
      <c r="B3" s="1260">
        <f>'Simulac. Factura Indiv. Sen CE'!$B$3*(365/12)*'Datos Custos Factura Eléctrica'!$B$3</f>
        <v>10.037500000000001</v>
      </c>
      <c r="C3" s="1260">
        <f>'Simulac. Factura Indiv. Sen CE'!$B$3*(365/12)*'Datos Custos Factura Eléctrica'!$B$3</f>
        <v>10.037500000000001</v>
      </c>
      <c r="D3" s="1260">
        <f>'Simulac. Factura Indiv. Sen CE'!$B$3*(365/12)*'Datos Custos Factura Eléctrica'!$B$3</f>
        <v>10.037500000000001</v>
      </c>
      <c r="E3" s="1260">
        <f>'Simulac. Factura Indiv. Sen CE'!$B$3*(365/12)*'Datos Custos Factura Eléctrica'!$B$3</f>
        <v>10.037500000000001</v>
      </c>
      <c r="F3" s="1260">
        <f>'Simulac. Factura Indiv. Sen CE'!$B$3*(365/12)*'Datos Custos Factura Eléctrica'!$B$3</f>
        <v>10.037500000000001</v>
      </c>
      <c r="G3" s="1260">
        <f>'Simulac. Factura Indiv. Sen CE'!$B$3*(365/12)*'Datos Custos Factura Eléctrica'!$B$3</f>
        <v>10.037500000000001</v>
      </c>
      <c r="H3" s="1260">
        <f>'Simulac. Factura Indiv. Sen CE'!$B$3*(365/12)*'Datos Custos Factura Eléctrica'!$B$3</f>
        <v>10.037500000000001</v>
      </c>
      <c r="I3" s="1260">
        <f>'Simulac. Factura Indiv. Sen CE'!$B$3*(365/12)*'Datos Custos Factura Eléctrica'!$B$3</f>
        <v>10.037500000000001</v>
      </c>
      <c r="J3" s="1260">
        <f>'Simulac. Factura Indiv. Sen CE'!$B$3*(365/12)*'Datos Custos Factura Eléctrica'!$B$3</f>
        <v>10.037500000000001</v>
      </c>
      <c r="K3" s="1260">
        <f>'Simulac. Factura Indiv. Sen CE'!$B$3*(365/12)*'Datos Custos Factura Eléctrica'!$B$3</f>
        <v>10.037500000000001</v>
      </c>
      <c r="L3" s="1260">
        <f>'Simulac. Factura Indiv. Sen CE'!$B$3*(365/12)*'Datos Custos Factura Eléctrica'!$B$3</f>
        <v>10.037500000000001</v>
      </c>
      <c r="M3" s="1260">
        <f>'Simulac. Factura Indiv. Sen CE'!$B$3*(365/12)*'Datos Custos Factura Eléctrica'!$B$3</f>
        <v>10.037500000000001</v>
      </c>
      <c r="N3" s="1260">
        <f>'Simulac. Factura Indiv. Sen CE'!$B$3*(365/12)*'Datos Custos Factura Eléctrica'!$B$3</f>
        <v>10.037500000000001</v>
      </c>
      <c r="O3" s="1260">
        <f>'Simulac. Factura Indiv. Sen CE'!$B$3*(365/12)*'Datos Custos Factura Eléctrica'!$B$3</f>
        <v>10.037500000000001</v>
      </c>
      <c r="P3" s="1260">
        <f>'Simulac. Factura Indiv. Sen CE'!$B$3*(365/12)*'Datos Custos Factura Eléctrica'!$B$3</f>
        <v>10.037500000000001</v>
      </c>
      <c r="Q3" s="1260">
        <f>'Simulac. Factura Indiv. Sen CE'!$B$3*(365/12)*'Datos Custos Factura Eléctrica'!$B$3</f>
        <v>10.037500000000001</v>
      </c>
      <c r="R3" s="1260">
        <f>'Simulac. Factura Indiv. Sen CE'!$B$3*(365/12)*'Datos Custos Factura Eléctrica'!$B$3</f>
        <v>10.037500000000001</v>
      </c>
      <c r="S3" s="1260">
        <f>'Simulac. Factura Indiv. Sen CE'!$B$3*(365/12)*'Datos Custos Factura Eléctrica'!$B$3</f>
        <v>10.037500000000001</v>
      </c>
      <c r="T3" s="1260">
        <f>'Simulac. Factura Indiv. Sen CE'!$B$3*(365/12)*'Datos Custos Factura Eléctrica'!$B$3</f>
        <v>10.037500000000001</v>
      </c>
      <c r="U3" s="1260">
        <f>'Simulac. Factura Indiv. Sen CE'!$B$3*(365/12)*'Datos Custos Factura Eléctrica'!$B$3</f>
        <v>10.037500000000001</v>
      </c>
      <c r="V3" s="1260">
        <f>'Simulac. Factura Indiv. Sen CE'!$B$3*(365/12)*'Datos Custos Factura Eléctrica'!$B$3</f>
        <v>10.037500000000001</v>
      </c>
      <c r="W3" s="1260">
        <f>'Simulac. Factura Indiv. Sen CE'!$B$3*(365/12)*'Datos Custos Factura Eléctrica'!$B$3</f>
        <v>10.037500000000001</v>
      </c>
      <c r="X3" s="1260">
        <f>'Simulac. Factura Indiv. Sen CE'!$B$3*(365/12)*'Datos Custos Factura Eléctrica'!$B$3</f>
        <v>10.037500000000001</v>
      </c>
      <c r="Y3" s="1260">
        <f>'Simulac. Factura Indiv. Sen CE'!$B$3*(365/12)*'Datos Custos Factura Eléctrica'!$B$3</f>
        <v>10.037500000000001</v>
      </c>
      <c r="Z3" s="1260">
        <f>'Simulac. Factura Indiv. Sen CE'!$B$3*(365/12)*'Datos Custos Factura Eléctrica'!$B$3</f>
        <v>10.037500000000001</v>
      </c>
      <c r="AA3" s="145">
        <f>SUM(B3:Z3)</f>
        <v>250.93749999999991</v>
      </c>
    </row>
    <row r="4" spans="1:27" x14ac:dyDescent="0.3">
      <c r="A4" s="411" t="s">
        <v>574</v>
      </c>
      <c r="B4" s="1260">
        <f>'Simulac. Factura Indiv. Sen CE'!$B$3*(365/12)*'Datos Custos Factura Eléctrica'!$B4</f>
        <v>3.01125</v>
      </c>
      <c r="C4" s="1260">
        <f>'Simulac. Factura Indiv. Sen CE'!$B$3*(365/12)*'Datos Custos Factura Eléctrica'!$B4</f>
        <v>3.01125</v>
      </c>
      <c r="D4" s="1260">
        <f>'Simulac. Factura Indiv. Sen CE'!$B$3*(365/12)*'Datos Custos Factura Eléctrica'!$B4</f>
        <v>3.01125</v>
      </c>
      <c r="E4" s="1260">
        <f>'Simulac. Factura Indiv. Sen CE'!$B$3*(365/12)*'Datos Custos Factura Eléctrica'!$B4</f>
        <v>3.01125</v>
      </c>
      <c r="F4" s="1260">
        <f>'Simulac. Factura Indiv. Sen CE'!$B$3*(365/12)*'Datos Custos Factura Eléctrica'!$B4</f>
        <v>3.01125</v>
      </c>
      <c r="G4" s="1260">
        <f>'Simulac. Factura Indiv. Sen CE'!$B$3*(365/12)*'Datos Custos Factura Eléctrica'!$B4</f>
        <v>3.01125</v>
      </c>
      <c r="H4" s="1260">
        <f>'Simulac. Factura Indiv. Sen CE'!$B$3*(365/12)*'Datos Custos Factura Eléctrica'!$B4</f>
        <v>3.01125</v>
      </c>
      <c r="I4" s="1260">
        <f>'Simulac. Factura Indiv. Sen CE'!$B$3*(365/12)*'Datos Custos Factura Eléctrica'!$B4</f>
        <v>3.01125</v>
      </c>
      <c r="J4" s="1260">
        <f>'Simulac. Factura Indiv. Sen CE'!$B$3*(365/12)*'Datos Custos Factura Eléctrica'!$B4</f>
        <v>3.01125</v>
      </c>
      <c r="K4" s="1260">
        <f>'Simulac. Factura Indiv. Sen CE'!$B$3*(365/12)*'Datos Custos Factura Eléctrica'!$B4</f>
        <v>3.01125</v>
      </c>
      <c r="L4" s="1260">
        <f>'Simulac. Factura Indiv. Sen CE'!$B$3*(365/12)*'Datos Custos Factura Eléctrica'!$B4</f>
        <v>3.01125</v>
      </c>
      <c r="M4" s="1260">
        <f>'Simulac. Factura Indiv. Sen CE'!$B$3*(365/12)*'Datos Custos Factura Eléctrica'!$B4</f>
        <v>3.01125</v>
      </c>
      <c r="N4" s="1260">
        <f>'Simulac. Factura Indiv. Sen CE'!$B$3*(365/12)*'Datos Custos Factura Eléctrica'!$B4</f>
        <v>3.01125</v>
      </c>
      <c r="O4" s="1260">
        <f>'Simulac. Factura Indiv. Sen CE'!$B$3*(365/12)*'Datos Custos Factura Eléctrica'!$B4</f>
        <v>3.01125</v>
      </c>
      <c r="P4" s="1260">
        <f>'Simulac. Factura Indiv. Sen CE'!$B$3*(365/12)*'Datos Custos Factura Eléctrica'!$B4</f>
        <v>3.01125</v>
      </c>
      <c r="Q4" s="1260">
        <f>'Simulac. Factura Indiv. Sen CE'!$B$3*(365/12)*'Datos Custos Factura Eléctrica'!$B4</f>
        <v>3.01125</v>
      </c>
      <c r="R4" s="1260">
        <f>'Simulac. Factura Indiv. Sen CE'!$B$3*(365/12)*'Datos Custos Factura Eléctrica'!$B4</f>
        <v>3.01125</v>
      </c>
      <c r="S4" s="1260">
        <f>'Simulac. Factura Indiv. Sen CE'!$B$3*(365/12)*'Datos Custos Factura Eléctrica'!$B4</f>
        <v>3.01125</v>
      </c>
      <c r="T4" s="1260">
        <f>'Simulac. Factura Indiv. Sen CE'!$B$3*(365/12)*'Datos Custos Factura Eléctrica'!$B4</f>
        <v>3.01125</v>
      </c>
      <c r="U4" s="1260">
        <f>'Simulac. Factura Indiv. Sen CE'!$B$3*(365/12)*'Datos Custos Factura Eléctrica'!$B4</f>
        <v>3.01125</v>
      </c>
      <c r="V4" s="1260">
        <f>'Simulac. Factura Indiv. Sen CE'!$B$3*(365/12)*'Datos Custos Factura Eléctrica'!$B4</f>
        <v>3.01125</v>
      </c>
      <c r="W4" s="1260">
        <f>'Simulac. Factura Indiv. Sen CE'!$B$3*(365/12)*'Datos Custos Factura Eléctrica'!$B4</f>
        <v>3.01125</v>
      </c>
      <c r="X4" s="1260">
        <f>'Simulac. Factura Indiv. Sen CE'!$B$3*(365/12)*'Datos Custos Factura Eléctrica'!$B4</f>
        <v>3.01125</v>
      </c>
      <c r="Y4" s="1260">
        <f>'Simulac. Factura Indiv. Sen CE'!$B$3*(365/12)*'Datos Custos Factura Eléctrica'!$B4</f>
        <v>3.01125</v>
      </c>
      <c r="Z4" s="1260">
        <f>'Simulac. Factura Indiv. Sen CE'!$B$3*(365/12)*'Datos Custos Factura Eléctrica'!$B4</f>
        <v>3.01125</v>
      </c>
      <c r="AA4" s="145">
        <f>SUM(B4:Z4)</f>
        <v>75.281249999999986</v>
      </c>
    </row>
    <row r="5" spans="1:27" x14ac:dyDescent="0.3">
      <c r="A5" s="411" t="s">
        <v>1080</v>
      </c>
      <c r="B5" s="1255">
        <f>(INDEX('Partners Real Data'!$B$2:$B$27,'Factura Socios Sen CE (2)'!B2))*'Datos Custos Factura Eléctrica'!$B$5</f>
        <v>50.1</v>
      </c>
      <c r="C5" s="1255">
        <f>(INDEX('Partners Real Data'!$B$2:$B$27,'Factura Socios Sen CE (2)'!C2))*'Datos Custos Factura Eléctrica'!$B$5</f>
        <v>29.400000000000002</v>
      </c>
      <c r="D5" s="1255">
        <f>(INDEX('Partners Real Data'!$B$2:$B$27,'Factura Socios Sen CE (2)'!D2))*'Datos Custos Factura Eléctrica'!$B$5</f>
        <v>12.600000000000001</v>
      </c>
      <c r="E5" s="1255">
        <f>(INDEX('Partners Real Data'!$B$2:$B$27,'Factura Socios Sen CE (2)'!E2))*'Datos Custos Factura Eléctrica'!$B$5</f>
        <v>52.2</v>
      </c>
      <c r="F5" s="1255">
        <f>(INDEX('Partners Real Data'!$B$2:$B$27,'Factura Socios Sen CE (2)'!F2))*'Datos Custos Factura Eléctrica'!$B$5</f>
        <v>10.9</v>
      </c>
      <c r="G5" s="1255">
        <f>(INDEX('Partners Real Data'!$B$2:$B$27,'Factura Socios Sen CE (2)'!G2))*'Datos Custos Factura Eléctrica'!$B$5</f>
        <v>26.6</v>
      </c>
      <c r="H5" s="1255">
        <f>(INDEX('Partners Real Data'!$B$2:$B$27,'Factura Socios Sen CE (2)'!H2))*'Datos Custos Factura Eléctrica'!$B$5</f>
        <v>46.1</v>
      </c>
      <c r="I5" s="1255">
        <f>(INDEX('Partners Real Data'!$B$2:$B$27,'Factura Socios Sen CE (2)'!I2))*'Datos Custos Factura Eléctrica'!$B$5</f>
        <v>19.5</v>
      </c>
      <c r="J5" s="1255">
        <f>(INDEX('Partners Real Data'!$B$2:$B$27,'Factura Socios Sen CE (2)'!J2))*'Datos Custos Factura Eléctrica'!$B$5</f>
        <v>14.200000000000001</v>
      </c>
      <c r="K5" s="1255">
        <f>(INDEX('Partners Real Data'!$B$2:$B$27,'Factura Socios Sen CE (2)'!K2))*'Datos Custos Factura Eléctrica'!$B$5</f>
        <v>14</v>
      </c>
      <c r="L5" s="1255">
        <f>(INDEX('Partners Real Data'!$B$2:$B$27,'Factura Socios Sen CE (2)'!L2))*'Datos Custos Factura Eléctrica'!$B$5</f>
        <v>26.400000000000002</v>
      </c>
      <c r="M5" s="1255">
        <f>(INDEX('Partners Real Data'!$B$2:$B$27,'Factura Socios Sen CE (2)'!M2))*'Datos Custos Factura Eléctrica'!$B$5</f>
        <v>41.900000000000006</v>
      </c>
      <c r="N5" s="1255">
        <f>(INDEX('Partners Real Data'!$B$2:$B$27,'Factura Socios Sen CE (2)'!N2))*'Datos Custos Factura Eléctrica'!$B$5</f>
        <v>44.400000000000006</v>
      </c>
      <c r="O5" s="1255">
        <f>(INDEX('Partners Real Data'!$B$2:$B$27,'Factura Socios Sen CE (2)'!O2))*'Datos Custos Factura Eléctrica'!$B$5</f>
        <v>11.9</v>
      </c>
      <c r="P5" s="1255">
        <f>(INDEX('Partners Real Data'!$B$2:$B$27,'Factura Socios Sen CE (2)'!P2))*'Datos Custos Factura Eléctrica'!$B$5</f>
        <v>42.900000000000006</v>
      </c>
      <c r="Q5" s="1255">
        <f>(INDEX('Partners Real Data'!$B$2:$B$27,'Factura Socios Sen CE (2)'!Q2))*'Datos Custos Factura Eléctrica'!$B$5</f>
        <v>8.8000000000000007</v>
      </c>
      <c r="R5" s="1255">
        <f>(INDEX('Partners Real Data'!$B$2:$B$27,'Factura Socios Sen CE (2)'!R2))*'Datos Custos Factura Eléctrica'!$B$5</f>
        <v>35.300000000000004</v>
      </c>
      <c r="S5" s="1255">
        <f>(INDEX('Partners Real Data'!$B$2:$B$27,'Factura Socios Sen CE (2)'!S2))*'Datos Custos Factura Eléctrica'!$B$5</f>
        <v>18.900000000000002</v>
      </c>
      <c r="T5" s="1255">
        <f>(INDEX('Partners Real Data'!$B$2:$B$27,'Factura Socios Sen CE (2)'!T2))*'Datos Custos Factura Eléctrica'!$B$5</f>
        <v>24.5</v>
      </c>
      <c r="U5" s="1255">
        <f>(INDEX('Partners Real Data'!$B$2:$B$27,'Factura Socios Sen CE (2)'!U2))*'Datos Custos Factura Eléctrica'!$B$5</f>
        <v>42.400000000000006</v>
      </c>
      <c r="V5" s="1255">
        <f>(INDEX('Partners Real Data'!$B$2:$B$27,'Factura Socios Sen CE (2)'!V2))*'Datos Custos Factura Eléctrica'!$B$5</f>
        <v>19.600000000000001</v>
      </c>
      <c r="W5" s="1255">
        <f>(INDEX('Partners Real Data'!$B$2:$B$27,'Factura Socios Sen CE (2)'!W2))*'Datos Custos Factura Eléctrica'!$B$5</f>
        <v>19.100000000000001</v>
      </c>
      <c r="X5" s="1255">
        <f>(INDEX('Partners Real Data'!$B$2:$B$27,'Factura Socios Sen CE (2)'!X2))*'Datos Custos Factura Eléctrica'!$B$5</f>
        <v>18.400000000000002</v>
      </c>
      <c r="Y5" s="1255">
        <f>(INDEX('Partners Real Data'!$B$2:$B$27,'Factura Socios Sen CE (2)'!Y2))*'Datos Custos Factura Eléctrica'!$B$5</f>
        <v>11</v>
      </c>
      <c r="Z5" s="1255">
        <f>(INDEX('Partners Real Data'!$B$2:$B$27,'Factura Socios Sen CE (2)'!Z2))*'Datos Custos Factura Eléctrica'!$B$5</f>
        <v>31.1</v>
      </c>
      <c r="AA5" s="145">
        <f>SUM(B5:Z5)</f>
        <v>672.19999999999993</v>
      </c>
    </row>
    <row r="6" spans="1:27" ht="15" thickBot="1" x14ac:dyDescent="0.35">
      <c r="A6" s="411" t="s">
        <v>577</v>
      </c>
      <c r="B6" s="1260">
        <f>'Datos Custos Factura Eléctrica'!$B$6*(365/12)</f>
        <v>1.1696729166666668</v>
      </c>
      <c r="C6" s="1260">
        <f>'Datos Custos Factura Eléctrica'!$B$6*(365/12)</f>
        <v>1.1696729166666668</v>
      </c>
      <c r="D6" s="1260">
        <f>'Datos Custos Factura Eléctrica'!$B$6*(365/12)</f>
        <v>1.1696729166666668</v>
      </c>
      <c r="E6" s="1260">
        <f>'Datos Custos Factura Eléctrica'!$B$6*(365/12)</f>
        <v>1.1696729166666668</v>
      </c>
      <c r="F6" s="1260">
        <f>'Datos Custos Factura Eléctrica'!$B$6*(365/12)</f>
        <v>1.1696729166666668</v>
      </c>
      <c r="G6" s="1260">
        <f>'Datos Custos Factura Eléctrica'!$B$6*(365/12)</f>
        <v>1.1696729166666668</v>
      </c>
      <c r="H6" s="1260">
        <f>'Datos Custos Factura Eléctrica'!$B$6*(365/12)</f>
        <v>1.1696729166666668</v>
      </c>
      <c r="I6" s="1260">
        <f>'Datos Custos Factura Eléctrica'!$B$6*(365/12)</f>
        <v>1.1696729166666668</v>
      </c>
      <c r="J6" s="1260">
        <f>'Datos Custos Factura Eléctrica'!$B$6*(365/12)</f>
        <v>1.1696729166666668</v>
      </c>
      <c r="K6" s="1260">
        <f>'Datos Custos Factura Eléctrica'!$B$6*(365/12)</f>
        <v>1.1696729166666668</v>
      </c>
      <c r="L6" s="1260">
        <f>'Datos Custos Factura Eléctrica'!$B$6*(365/12)</f>
        <v>1.1696729166666668</v>
      </c>
      <c r="M6" s="1260">
        <f>'Datos Custos Factura Eléctrica'!$B$6*(365/12)</f>
        <v>1.1696729166666668</v>
      </c>
      <c r="N6" s="1260">
        <f>'Datos Custos Factura Eléctrica'!$B$6*(365/12)</f>
        <v>1.1696729166666668</v>
      </c>
      <c r="O6" s="1260">
        <f>'Datos Custos Factura Eléctrica'!$B$6*(365/12)</f>
        <v>1.1696729166666668</v>
      </c>
      <c r="P6" s="1260">
        <f>'Datos Custos Factura Eléctrica'!$B$6*(365/12)</f>
        <v>1.1696729166666668</v>
      </c>
      <c r="Q6" s="1260">
        <f>'Datos Custos Factura Eléctrica'!$B$6*(365/12)</f>
        <v>1.1696729166666668</v>
      </c>
      <c r="R6" s="1260">
        <f>'Datos Custos Factura Eléctrica'!$B$6*(365/12)</f>
        <v>1.1696729166666668</v>
      </c>
      <c r="S6" s="1260">
        <f>'Datos Custos Factura Eléctrica'!$B$6*(365/12)</f>
        <v>1.1696729166666668</v>
      </c>
      <c r="T6" s="1260">
        <f>'Datos Custos Factura Eléctrica'!$B$6*(365/12)</f>
        <v>1.1696729166666668</v>
      </c>
      <c r="U6" s="1260">
        <f>'Datos Custos Factura Eléctrica'!$B$6*(365/12)</f>
        <v>1.1696729166666668</v>
      </c>
      <c r="V6" s="1260">
        <f>'Datos Custos Factura Eléctrica'!$B$6*(365/12)</f>
        <v>1.1696729166666668</v>
      </c>
      <c r="W6" s="1260">
        <f>'Datos Custos Factura Eléctrica'!$B$6*(365/12)</f>
        <v>1.1696729166666668</v>
      </c>
      <c r="X6" s="1260">
        <f>'Datos Custos Factura Eléctrica'!$B$6*(365/12)</f>
        <v>1.1696729166666668</v>
      </c>
      <c r="Y6" s="1260">
        <f>'Datos Custos Factura Eléctrica'!$B$6*(365/12)</f>
        <v>1.1696729166666668</v>
      </c>
      <c r="Z6" s="1260">
        <f>'Datos Custos Factura Eléctrica'!$B$6*(365/12)</f>
        <v>1.1696729166666668</v>
      </c>
      <c r="AA6" s="145">
        <f>SUM(B6:Z6)</f>
        <v>29.241822916666663</v>
      </c>
    </row>
    <row r="7" spans="1:27" ht="15" thickBot="1" x14ac:dyDescent="0.35">
      <c r="A7" s="1259" t="s">
        <v>1085</v>
      </c>
      <c r="B7" s="1258">
        <f t="shared" ref="B7:Z7" si="0">SUM(B3:B6)</f>
        <v>64.318422916666677</v>
      </c>
      <c r="C7" s="1258">
        <f t="shared" si="0"/>
        <v>43.618422916666674</v>
      </c>
      <c r="D7" s="1258">
        <f t="shared" si="0"/>
        <v>26.81842291666667</v>
      </c>
      <c r="E7" s="1258">
        <f t="shared" si="0"/>
        <v>66.418422916666671</v>
      </c>
      <c r="F7" s="1258">
        <f t="shared" si="0"/>
        <v>25.11842291666667</v>
      </c>
      <c r="G7" s="1258">
        <f t="shared" si="0"/>
        <v>40.818422916666677</v>
      </c>
      <c r="H7" s="1258">
        <f t="shared" si="0"/>
        <v>60.318422916666677</v>
      </c>
      <c r="I7" s="1258">
        <f t="shared" si="0"/>
        <v>33.718422916666668</v>
      </c>
      <c r="J7" s="1258">
        <f t="shared" si="0"/>
        <v>28.418422916666668</v>
      </c>
      <c r="K7" s="1258">
        <f t="shared" si="0"/>
        <v>28.218422916666668</v>
      </c>
      <c r="L7" s="1258">
        <f t="shared" si="0"/>
        <v>40.618422916666674</v>
      </c>
      <c r="M7" s="1258">
        <f t="shared" si="0"/>
        <v>56.118422916666674</v>
      </c>
      <c r="N7" s="1258">
        <f t="shared" si="0"/>
        <v>58.618422916666674</v>
      </c>
      <c r="O7" s="1258">
        <f t="shared" si="0"/>
        <v>26.11842291666667</v>
      </c>
      <c r="P7" s="1258">
        <f t="shared" si="0"/>
        <v>57.118422916666674</v>
      </c>
      <c r="Q7" s="1258">
        <f t="shared" si="0"/>
        <v>23.018422916666669</v>
      </c>
      <c r="R7" s="1258">
        <f t="shared" si="0"/>
        <v>49.51842291666668</v>
      </c>
      <c r="S7" s="1258">
        <f t="shared" si="0"/>
        <v>33.118422916666674</v>
      </c>
      <c r="T7" s="1258">
        <f t="shared" si="0"/>
        <v>38.718422916666668</v>
      </c>
      <c r="U7" s="1258">
        <f t="shared" si="0"/>
        <v>56.618422916666674</v>
      </c>
      <c r="V7" s="1258">
        <f t="shared" si="0"/>
        <v>33.818422916666677</v>
      </c>
      <c r="W7" s="1258">
        <f t="shared" si="0"/>
        <v>33.318422916666677</v>
      </c>
      <c r="X7" s="1258">
        <f t="shared" si="0"/>
        <v>32.618422916666674</v>
      </c>
      <c r="Y7" s="1257">
        <f t="shared" si="0"/>
        <v>25.218422916666668</v>
      </c>
      <c r="Z7" s="1256">
        <f t="shared" si="0"/>
        <v>45.318422916666677</v>
      </c>
      <c r="AA7" s="1256">
        <f>SUM(B7:Z7)</f>
        <v>1027.6605729166665</v>
      </c>
    </row>
    <row r="8" spans="1:27" x14ac:dyDescent="0.3">
      <c r="A8" s="411"/>
      <c r="B8" s="389"/>
      <c r="C8" s="38"/>
    </row>
    <row r="9" spans="1:27" x14ac:dyDescent="0.3">
      <c r="A9" s="411" t="s">
        <v>582</v>
      </c>
      <c r="B9" s="1255">
        <f>B7*'Simulac. Factura Indiv. Sen CE'!$C$8</f>
        <v>0.32159211458333337</v>
      </c>
      <c r="C9" s="1255">
        <f>C7*'Simulac. Factura Indiv. Sen CE'!$C$8</f>
        <v>0.21809211458333339</v>
      </c>
      <c r="D9" s="1255">
        <f>D7*'Simulac. Factura Indiv. Sen CE'!$C$8</f>
        <v>0.13409211458333334</v>
      </c>
      <c r="E9" s="1255">
        <f>E7*'Simulac. Factura Indiv. Sen CE'!$C$8</f>
        <v>0.33209211458333338</v>
      </c>
      <c r="F9" s="1255">
        <f>F7*'Simulac. Factura Indiv. Sen CE'!$C$8</f>
        <v>0.12559211458333336</v>
      </c>
      <c r="G9" s="1255">
        <f>G7*'Simulac. Factura Indiv. Sen CE'!$C$8</f>
        <v>0.2040921145833334</v>
      </c>
      <c r="H9" s="1255">
        <f>H7*'Simulac. Factura Indiv. Sen CE'!$C$8</f>
        <v>0.3015921145833334</v>
      </c>
      <c r="I9" s="1255">
        <f>I7*'Simulac. Factura Indiv. Sen CE'!$C$8</f>
        <v>0.16859211458333334</v>
      </c>
      <c r="J9" s="1255">
        <f>J7*'Simulac. Factura Indiv. Sen CE'!$C$8</f>
        <v>0.14209211458333335</v>
      </c>
      <c r="K9" s="1255">
        <f>K7*'Simulac. Factura Indiv. Sen CE'!$C$8</f>
        <v>0.14109211458333334</v>
      </c>
      <c r="L9" s="1255">
        <f>L7*'Simulac. Factura Indiv. Sen CE'!$C$8</f>
        <v>0.20309211458333337</v>
      </c>
      <c r="M9" s="1255">
        <f>M7*'Simulac. Factura Indiv. Sen CE'!$C$8</f>
        <v>0.28059211458333339</v>
      </c>
      <c r="N9" s="1255">
        <f>N7*'Simulac. Factura Indiv. Sen CE'!$C$8</f>
        <v>0.2930921145833334</v>
      </c>
      <c r="O9" s="1255">
        <f>O7*'Simulac. Factura Indiv. Sen CE'!$C$8</f>
        <v>0.13059211458333336</v>
      </c>
      <c r="P9" s="1255">
        <f>P7*'Simulac. Factura Indiv. Sen CE'!$C$8</f>
        <v>0.28559211458333339</v>
      </c>
      <c r="Q9" s="1255">
        <f>Q7*'Simulac. Factura Indiv. Sen CE'!$C$8</f>
        <v>0.11509211458333335</v>
      </c>
      <c r="R9" s="1255">
        <f>R7*'Simulac. Factura Indiv. Sen CE'!$C$8</f>
        <v>0.24759211458333341</v>
      </c>
      <c r="S9" s="1255">
        <f>S7*'Simulac. Factura Indiv. Sen CE'!$C$8</f>
        <v>0.16559211458333337</v>
      </c>
      <c r="T9" s="1255">
        <f>T7*'Simulac. Factura Indiv. Sen CE'!$C$8</f>
        <v>0.19359211458333334</v>
      </c>
      <c r="U9" s="1255">
        <f>U7*'Simulac. Factura Indiv. Sen CE'!$C$8</f>
        <v>0.28309211458333339</v>
      </c>
      <c r="V9" s="1255">
        <f>V7*'Simulac. Factura Indiv. Sen CE'!$C$8</f>
        <v>0.1690921145833334</v>
      </c>
      <c r="W9" s="1255">
        <f>W7*'Simulac. Factura Indiv. Sen CE'!$C$8</f>
        <v>0.16659211458333339</v>
      </c>
      <c r="X9" s="1255">
        <f>X7*'Simulac. Factura Indiv. Sen CE'!$C$8</f>
        <v>0.16309211458333336</v>
      </c>
      <c r="Y9" s="1255">
        <f>Y7*'Simulac. Factura Indiv. Sen CE'!$C$8</f>
        <v>0.12609211458333333</v>
      </c>
      <c r="Z9" s="1255">
        <f>Z7*'Simulac. Factura Indiv. Sen CE'!$C$8</f>
        <v>0.22659211458333339</v>
      </c>
      <c r="AA9" s="145">
        <f>SUM(B9:Z9)</f>
        <v>5.1383028645833342</v>
      </c>
    </row>
    <row r="10" spans="1:27" x14ac:dyDescent="0.3">
      <c r="A10" s="411"/>
      <c r="B10" s="389"/>
      <c r="C10" s="38"/>
    </row>
    <row r="11" spans="1:27" x14ac:dyDescent="0.3">
      <c r="A11" s="411" t="s">
        <v>585</v>
      </c>
      <c r="B11" s="1260">
        <f>'Datos Custos Factura Eléctrica'!$B$11*(365/12)</f>
        <v>0.81474083333333336</v>
      </c>
      <c r="C11" s="1260">
        <f>'Datos Custos Factura Eléctrica'!$B$11*(365/12)</f>
        <v>0.81474083333333336</v>
      </c>
      <c r="D11" s="1260">
        <f>'Datos Custos Factura Eléctrica'!$B$11*(365/12)</f>
        <v>0.81474083333333336</v>
      </c>
      <c r="E11" s="1260">
        <f>'Datos Custos Factura Eléctrica'!$B$11*(365/12)</f>
        <v>0.81474083333333336</v>
      </c>
      <c r="F11" s="1260">
        <f>'Datos Custos Factura Eléctrica'!$B$11*(365/12)</f>
        <v>0.81474083333333336</v>
      </c>
      <c r="G11" s="1260">
        <f>'Datos Custos Factura Eléctrica'!$B$11*(365/12)</f>
        <v>0.81474083333333336</v>
      </c>
      <c r="H11" s="1260">
        <f>'Datos Custos Factura Eléctrica'!$B$11*(365/12)</f>
        <v>0.81474083333333336</v>
      </c>
      <c r="I11" s="1260">
        <f>'Datos Custos Factura Eléctrica'!$B$11*(365/12)</f>
        <v>0.81474083333333336</v>
      </c>
      <c r="J11" s="1260">
        <f>'Datos Custos Factura Eléctrica'!$B$11*(365/12)</f>
        <v>0.81474083333333336</v>
      </c>
      <c r="K11" s="1260">
        <f>'Datos Custos Factura Eléctrica'!$B$11*(365/12)</f>
        <v>0.81474083333333336</v>
      </c>
      <c r="L11" s="1260">
        <f>'Datos Custos Factura Eléctrica'!$B$11*(365/12)</f>
        <v>0.81474083333333336</v>
      </c>
      <c r="M11" s="1260">
        <f>'Datos Custos Factura Eléctrica'!$B$11*(365/12)</f>
        <v>0.81474083333333336</v>
      </c>
      <c r="N11" s="1260">
        <f>'Datos Custos Factura Eléctrica'!$B$11*(365/12)</f>
        <v>0.81474083333333336</v>
      </c>
      <c r="O11" s="1260">
        <f>'Datos Custos Factura Eléctrica'!$B$11*(365/12)</f>
        <v>0.81474083333333336</v>
      </c>
      <c r="P11" s="1260">
        <f>'Datos Custos Factura Eléctrica'!$B$11*(365/12)</f>
        <v>0.81474083333333336</v>
      </c>
      <c r="Q11" s="1260">
        <f>'Datos Custos Factura Eléctrica'!$B$11*(365/12)</f>
        <v>0.81474083333333336</v>
      </c>
      <c r="R11" s="1260">
        <f>'Datos Custos Factura Eléctrica'!$B$11*(365/12)</f>
        <v>0.81474083333333336</v>
      </c>
      <c r="S11" s="1260">
        <f>'Datos Custos Factura Eléctrica'!$B$11*(365/12)</f>
        <v>0.81474083333333336</v>
      </c>
      <c r="T11" s="1260">
        <f>'Datos Custos Factura Eléctrica'!$B$11*(365/12)</f>
        <v>0.81474083333333336</v>
      </c>
      <c r="U11" s="1260">
        <f>'Datos Custos Factura Eléctrica'!$B$11*(365/12)</f>
        <v>0.81474083333333336</v>
      </c>
      <c r="V11" s="1260">
        <f>'Datos Custos Factura Eléctrica'!$B$11*(365/12)</f>
        <v>0.81474083333333336</v>
      </c>
      <c r="W11" s="1260">
        <f>'Datos Custos Factura Eléctrica'!$B$11*(365/12)</f>
        <v>0.81474083333333336</v>
      </c>
      <c r="X11" s="1260">
        <f>'Datos Custos Factura Eléctrica'!$B$11*(365/12)</f>
        <v>0.81474083333333336</v>
      </c>
      <c r="Y11" s="1260">
        <f>'Datos Custos Factura Eléctrica'!$B$11*(365/12)</f>
        <v>0.81474083333333336</v>
      </c>
      <c r="Z11" s="1260">
        <f>'Datos Custos Factura Eléctrica'!$B$11*(365/12)</f>
        <v>0.81474083333333336</v>
      </c>
      <c r="AA11" s="145">
        <f>SUM(B11:Z11)</f>
        <v>20.368520833333324</v>
      </c>
    </row>
    <row r="12" spans="1:27" ht="15" thickBot="1" x14ac:dyDescent="0.35">
      <c r="A12" s="411"/>
      <c r="B12" s="389"/>
      <c r="C12" s="38"/>
    </row>
    <row r="13" spans="1:27" ht="15" thickBot="1" x14ac:dyDescent="0.35">
      <c r="A13" s="1259" t="s">
        <v>1084</v>
      </c>
      <c r="B13" s="1258">
        <f>B7+B9+B11</f>
        <v>65.454755864583348</v>
      </c>
      <c r="C13" s="1258">
        <f t="shared" ref="C13:Z13" si="1">C7+C9+C11</f>
        <v>44.651255864583341</v>
      </c>
      <c r="D13" s="1258">
        <f t="shared" si="1"/>
        <v>27.767255864583333</v>
      </c>
      <c r="E13" s="1258">
        <f t="shared" si="1"/>
        <v>67.565255864583335</v>
      </c>
      <c r="F13" s="1258">
        <f t="shared" si="1"/>
        <v>26.058755864583336</v>
      </c>
      <c r="G13" s="1258">
        <f t="shared" si="1"/>
        <v>41.837255864583341</v>
      </c>
      <c r="H13" s="1258">
        <f t="shared" si="1"/>
        <v>61.434755864583344</v>
      </c>
      <c r="I13" s="1258">
        <f t="shared" si="1"/>
        <v>34.701755864583333</v>
      </c>
      <c r="J13" s="1258">
        <f t="shared" si="1"/>
        <v>29.375255864583334</v>
      </c>
      <c r="K13" s="1258">
        <f t="shared" si="1"/>
        <v>29.174255864583333</v>
      </c>
      <c r="L13" s="1258">
        <f t="shared" si="1"/>
        <v>41.63625586458334</v>
      </c>
      <c r="M13" s="1258">
        <f t="shared" si="1"/>
        <v>57.213755864583341</v>
      </c>
      <c r="N13" s="1258">
        <f t="shared" si="1"/>
        <v>59.726255864583337</v>
      </c>
      <c r="O13" s="1258">
        <f t="shared" si="1"/>
        <v>27.063755864583335</v>
      </c>
      <c r="P13" s="1258">
        <f t="shared" si="1"/>
        <v>58.218755864583336</v>
      </c>
      <c r="Q13" s="1258">
        <f t="shared" si="1"/>
        <v>23.948255864583334</v>
      </c>
      <c r="R13" s="1258">
        <f t="shared" si="1"/>
        <v>50.580755864583345</v>
      </c>
      <c r="S13" s="1258">
        <f t="shared" si="1"/>
        <v>34.098755864583339</v>
      </c>
      <c r="T13" s="1258">
        <f t="shared" si="1"/>
        <v>39.726755864583332</v>
      </c>
      <c r="U13" s="1258">
        <f t="shared" si="1"/>
        <v>57.716255864583339</v>
      </c>
      <c r="V13" s="1258">
        <f t="shared" si="1"/>
        <v>34.802255864583344</v>
      </c>
      <c r="W13" s="1258">
        <f t="shared" si="1"/>
        <v>34.299755864583339</v>
      </c>
      <c r="X13" s="1258">
        <f t="shared" si="1"/>
        <v>33.596255864583341</v>
      </c>
      <c r="Y13" s="1257">
        <f t="shared" si="1"/>
        <v>26.159255864583333</v>
      </c>
      <c r="Z13" s="1256">
        <f t="shared" si="1"/>
        <v>46.359755864583342</v>
      </c>
      <c r="AA13" s="1256">
        <f>SUM(B13:Z13)</f>
        <v>1053.1673966145834</v>
      </c>
    </row>
    <row r="14" spans="1:27" x14ac:dyDescent="0.3">
      <c r="A14" s="411"/>
      <c r="B14" s="389"/>
      <c r="C14" s="38"/>
    </row>
    <row r="15" spans="1:27" x14ac:dyDescent="0.3">
      <c r="A15" s="411" t="s">
        <v>1083</v>
      </c>
      <c r="B15" s="1255">
        <f>'Simulac. Factura Indiv. Sen CE'!$C$14*B13</f>
        <v>13.745498731562503</v>
      </c>
      <c r="C15" s="1255">
        <f>'Simulac. Factura Indiv. Sen CE'!$C$14*C13</f>
        <v>9.3767637315625016</v>
      </c>
      <c r="D15" s="1255">
        <f>'Simulac. Factura Indiv. Sen CE'!$C$14*D13</f>
        <v>5.8311237315625002</v>
      </c>
      <c r="E15" s="1255">
        <f>'Simulac. Factura Indiv. Sen CE'!$C$14*E13</f>
        <v>14.1887037315625</v>
      </c>
      <c r="F15" s="1255">
        <f>'Simulac. Factura Indiv. Sen CE'!$C$14*F13</f>
        <v>5.4723387315625001</v>
      </c>
      <c r="G15" s="1255">
        <f>'Simulac. Factura Indiv. Sen CE'!$C$14*G13</f>
        <v>8.7858237315625018</v>
      </c>
      <c r="H15" s="1255">
        <f>'Simulac. Factura Indiv. Sen CE'!$C$14*H13</f>
        <v>12.901298731562502</v>
      </c>
      <c r="I15" s="1255">
        <f>'Simulac. Factura Indiv. Sen CE'!$C$14*I13</f>
        <v>7.2873687315624993</v>
      </c>
      <c r="J15" s="1255">
        <f>'Simulac. Factura Indiv. Sen CE'!$C$14*J13</f>
        <v>6.1688037315624999</v>
      </c>
      <c r="K15" s="1255">
        <f>'Simulac. Factura Indiv. Sen CE'!$C$14*K13</f>
        <v>6.1265937315625001</v>
      </c>
      <c r="L15" s="1255">
        <f>'Simulac. Factura Indiv. Sen CE'!$C$14*L13</f>
        <v>8.7436137315625011</v>
      </c>
      <c r="M15" s="1255">
        <f>'Simulac. Factura Indiv. Sen CE'!$C$14*M13</f>
        <v>12.0148887315625</v>
      </c>
      <c r="N15" s="1255">
        <f>'Simulac. Factura Indiv. Sen CE'!$C$14*N13</f>
        <v>12.542513731562501</v>
      </c>
      <c r="O15" s="1255">
        <f>'Simulac. Factura Indiv. Sen CE'!$C$14*O13</f>
        <v>5.6833887315625002</v>
      </c>
      <c r="P15" s="1255">
        <f>'Simulac. Factura Indiv. Sen CE'!$C$14*P13</f>
        <v>12.225938731562501</v>
      </c>
      <c r="Q15" s="1255">
        <f>'Simulac. Factura Indiv. Sen CE'!$C$14*Q13</f>
        <v>5.0291337315625002</v>
      </c>
      <c r="R15" s="1255">
        <f>'Simulac. Factura Indiv. Sen CE'!$C$14*R13</f>
        <v>10.621958731562502</v>
      </c>
      <c r="S15" s="1255">
        <f>'Simulac. Factura Indiv. Sen CE'!$C$14*S13</f>
        <v>7.1607387315625006</v>
      </c>
      <c r="T15" s="1255">
        <f>'Simulac. Factura Indiv. Sen CE'!$C$14*T13</f>
        <v>8.3426187315624993</v>
      </c>
      <c r="U15" s="1255">
        <f>'Simulac. Factura Indiv. Sen CE'!$C$14*U13</f>
        <v>12.1204137315625</v>
      </c>
      <c r="V15" s="1255">
        <f>'Simulac. Factura Indiv. Sen CE'!$C$14*V13</f>
        <v>7.3084737315625024</v>
      </c>
      <c r="W15" s="1255">
        <f>'Simulac. Factura Indiv. Sen CE'!$C$14*W13</f>
        <v>7.2029487315625014</v>
      </c>
      <c r="X15" s="1255">
        <f>'Simulac. Factura Indiv. Sen CE'!$C$14*X13</f>
        <v>7.0552137315625014</v>
      </c>
      <c r="Y15" s="1255">
        <f>'Simulac. Factura Indiv. Sen CE'!$C$14*Y13</f>
        <v>5.4934437315624995</v>
      </c>
      <c r="Z15" s="1255">
        <f>'Simulac. Factura Indiv. Sen CE'!$C$14*Z13</f>
        <v>9.7355487315625009</v>
      </c>
      <c r="AA15" s="145">
        <f>SUM(B15:Z15)</f>
        <v>221.16515328906257</v>
      </c>
    </row>
    <row r="16" spans="1:27" ht="15" thickBot="1" x14ac:dyDescent="0.35">
      <c r="A16" s="411"/>
      <c r="B16" s="389"/>
      <c r="C16" s="38"/>
    </row>
    <row r="17" spans="1:27" ht="15" thickBot="1" x14ac:dyDescent="0.35">
      <c r="A17" s="1254" t="s">
        <v>1082</v>
      </c>
      <c r="B17" s="1253">
        <f>B13+B15</f>
        <v>79.200254596145854</v>
      </c>
      <c r="C17" s="1253">
        <f t="shared" ref="C17:Z17" si="2">C13+C15</f>
        <v>54.028019596145839</v>
      </c>
      <c r="D17" s="1253">
        <f t="shared" si="2"/>
        <v>33.598379596145833</v>
      </c>
      <c r="E17" s="1253">
        <f t="shared" si="2"/>
        <v>81.753959596145833</v>
      </c>
      <c r="F17" s="1253">
        <f t="shared" si="2"/>
        <v>31.531094596145834</v>
      </c>
      <c r="G17" s="1253">
        <f t="shared" si="2"/>
        <v>50.623079596145843</v>
      </c>
      <c r="H17" s="1253">
        <f t="shared" si="2"/>
        <v>74.336054596145843</v>
      </c>
      <c r="I17" s="1253">
        <f t="shared" si="2"/>
        <v>41.989124596145835</v>
      </c>
      <c r="J17" s="1253">
        <f t="shared" si="2"/>
        <v>35.544059596145836</v>
      </c>
      <c r="K17" s="1253">
        <f t="shared" si="2"/>
        <v>35.300849596145831</v>
      </c>
      <c r="L17" s="1253">
        <f t="shared" si="2"/>
        <v>50.379869596145838</v>
      </c>
      <c r="M17" s="1253">
        <f t="shared" si="2"/>
        <v>69.228644596145841</v>
      </c>
      <c r="N17" s="1253">
        <f t="shared" si="2"/>
        <v>72.26876959614583</v>
      </c>
      <c r="O17" s="1253">
        <f t="shared" si="2"/>
        <v>32.747144596145837</v>
      </c>
      <c r="P17" s="1253">
        <f t="shared" si="2"/>
        <v>70.444694596145837</v>
      </c>
      <c r="Q17" s="1253">
        <f t="shared" si="2"/>
        <v>28.977389596145834</v>
      </c>
      <c r="R17" s="1253">
        <f t="shared" si="2"/>
        <v>61.202714596145846</v>
      </c>
      <c r="S17" s="1253">
        <f t="shared" si="2"/>
        <v>41.259494596145842</v>
      </c>
      <c r="T17" s="1253">
        <f t="shared" si="2"/>
        <v>48.069374596145835</v>
      </c>
      <c r="U17" s="1253">
        <f t="shared" si="2"/>
        <v>69.836669596145839</v>
      </c>
      <c r="V17" s="1253">
        <f t="shared" si="2"/>
        <v>42.110729596145845</v>
      </c>
      <c r="W17" s="1253">
        <f t="shared" si="2"/>
        <v>41.50270459614584</v>
      </c>
      <c r="X17" s="1253">
        <f t="shared" si="2"/>
        <v>40.651469596145844</v>
      </c>
      <c r="Y17" s="1253">
        <f t="shared" si="2"/>
        <v>31.652699596145833</v>
      </c>
      <c r="Z17" s="1252">
        <f t="shared" si="2"/>
        <v>56.095304596145844</v>
      </c>
      <c r="AA17" s="1251">
        <f>SUM(B17:Z17)</f>
        <v>1274.3325499036457</v>
      </c>
    </row>
    <row r="18" spans="1:27" x14ac:dyDescent="0.3">
      <c r="B18" s="389"/>
      <c r="C18" s="38"/>
    </row>
    <row r="19" spans="1:27" x14ac:dyDescent="0.3">
      <c r="B19" s="389"/>
      <c r="C19" s="38"/>
    </row>
    <row r="20" spans="1:27" x14ac:dyDescent="0.3">
      <c r="B20" s="389"/>
      <c r="C20" s="38"/>
    </row>
    <row r="21" spans="1:27" x14ac:dyDescent="0.3">
      <c r="B21" s="389"/>
      <c r="C21" s="38"/>
    </row>
    <row r="22" spans="1:27" x14ac:dyDescent="0.3">
      <c r="B22" s="389"/>
      <c r="C22" s="38"/>
    </row>
    <row r="23" spans="1:27" x14ac:dyDescent="0.3">
      <c r="B23" s="389"/>
      <c r="C23" s="38"/>
    </row>
    <row r="24" spans="1:27" x14ac:dyDescent="0.3">
      <c r="B24" s="389"/>
      <c r="C24" s="38"/>
    </row>
    <row r="25" spans="1:27" x14ac:dyDescent="0.3">
      <c r="B25" s="389"/>
      <c r="C25" s="38"/>
    </row>
    <row r="26" spans="1:27" x14ac:dyDescent="0.3">
      <c r="B26" s="389"/>
      <c r="C26" s="1250"/>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94B0-A867-4E67-9FEC-AB0AE326679D}">
  <sheetPr>
    <tabColor rgb="FF7030A0"/>
  </sheetPr>
  <dimension ref="A1:AA46"/>
  <sheetViews>
    <sheetView topLeftCell="A24" workbookViewId="0">
      <selection activeCell="AA46" sqref="AA46"/>
    </sheetView>
  </sheetViews>
  <sheetFormatPr baseColWidth="10" defaultColWidth="11.5546875" defaultRowHeight="14.4" x14ac:dyDescent="0.3"/>
  <cols>
    <col min="1" max="1" width="53.44140625" bestFit="1" customWidth="1"/>
    <col min="2" max="2" width="12.33203125" bestFit="1" customWidth="1"/>
    <col min="3" max="3" width="13.88671875" customWidth="1"/>
    <col min="27" max="27" width="11.5546875" bestFit="1" customWidth="1"/>
  </cols>
  <sheetData>
    <row r="1" spans="1:27" x14ac:dyDescent="0.3">
      <c r="B1" s="169" t="s">
        <v>1136</v>
      </c>
      <c r="C1" s="1261"/>
    </row>
    <row r="2" spans="1:27" ht="43.2" x14ac:dyDescent="0.3">
      <c r="B2" s="389">
        <v>1</v>
      </c>
      <c r="C2" s="389">
        <v>2</v>
      </c>
      <c r="D2" s="389">
        <v>3</v>
      </c>
      <c r="E2" s="389">
        <v>4</v>
      </c>
      <c r="F2" s="389">
        <v>5</v>
      </c>
      <c r="G2" s="389">
        <v>6</v>
      </c>
      <c r="H2" s="389">
        <v>7</v>
      </c>
      <c r="I2" s="389">
        <v>8</v>
      </c>
      <c r="J2" s="389">
        <v>9</v>
      </c>
      <c r="K2" s="389">
        <v>10</v>
      </c>
      <c r="L2" s="389">
        <v>11</v>
      </c>
      <c r="M2" s="389">
        <v>12</v>
      </c>
      <c r="N2" s="389">
        <v>13</v>
      </c>
      <c r="O2" s="389">
        <v>14</v>
      </c>
      <c r="P2" s="389">
        <v>15</v>
      </c>
      <c r="Q2" s="389">
        <v>16</v>
      </c>
      <c r="R2" s="389">
        <v>17</v>
      </c>
      <c r="S2" s="389">
        <v>18</v>
      </c>
      <c r="T2" s="389">
        <v>19</v>
      </c>
      <c r="U2" s="389">
        <v>20</v>
      </c>
      <c r="V2" s="389">
        <v>21</v>
      </c>
      <c r="W2" s="389">
        <v>22</v>
      </c>
      <c r="X2" s="389">
        <v>23</v>
      </c>
      <c r="Y2" s="389">
        <v>24</v>
      </c>
      <c r="Z2" s="389">
        <v>25</v>
      </c>
      <c r="AA2" s="389" t="s">
        <v>1128</v>
      </c>
    </row>
    <row r="3" spans="1:27" x14ac:dyDescent="0.3">
      <c r="A3" s="411" t="s">
        <v>571</v>
      </c>
      <c r="B3" s="1260">
        <f>'Simulac. Factura Indiv. Sen CE'!$B$3*(365/12)*'Datos Custos Factura Eléctrica'!$B$3</f>
        <v>10.037500000000001</v>
      </c>
      <c r="C3" s="1260">
        <f>'Simulac. Factura Indiv. Sen CE'!$B$3*(365/12)*'Datos Custos Factura Eléctrica'!$B$3</f>
        <v>10.037500000000001</v>
      </c>
      <c r="D3" s="1260">
        <f>'Simulac. Factura Indiv. Sen CE'!$B$3*(365/12)*'Datos Custos Factura Eléctrica'!$B$3</f>
        <v>10.037500000000001</v>
      </c>
      <c r="E3" s="1260">
        <f>'Simulac. Factura Indiv. Sen CE'!$B$3*(365/12)*'Datos Custos Factura Eléctrica'!$B$3</f>
        <v>10.037500000000001</v>
      </c>
      <c r="F3" s="1260">
        <f>'Simulac. Factura Indiv. Sen CE'!$B$3*(365/12)*'Datos Custos Factura Eléctrica'!$B$3</f>
        <v>10.037500000000001</v>
      </c>
      <c r="G3" s="1260">
        <f>'Simulac. Factura Indiv. Sen CE'!$B$3*(365/12)*'Datos Custos Factura Eléctrica'!$B$3</f>
        <v>10.037500000000001</v>
      </c>
      <c r="H3" s="1260">
        <f>'Simulac. Factura Indiv. Sen CE'!$B$3*(365/12)*'Datos Custos Factura Eléctrica'!$B$3</f>
        <v>10.037500000000001</v>
      </c>
      <c r="I3" s="1260">
        <f>'Simulac. Factura Indiv. Sen CE'!$B$3*(365/12)*'Datos Custos Factura Eléctrica'!$B$3</f>
        <v>10.037500000000001</v>
      </c>
      <c r="J3" s="1260">
        <f>'Simulac. Factura Indiv. Sen CE'!$B$3*(365/12)*'Datos Custos Factura Eléctrica'!$B$3</f>
        <v>10.037500000000001</v>
      </c>
      <c r="K3" s="1260">
        <f>'Simulac. Factura Indiv. Sen CE'!$B$3*(365/12)*'Datos Custos Factura Eléctrica'!$B$3</f>
        <v>10.037500000000001</v>
      </c>
      <c r="L3" s="1260">
        <f>'Simulac. Factura Indiv. Sen CE'!$B$3*(365/12)*'Datos Custos Factura Eléctrica'!$B$3</f>
        <v>10.037500000000001</v>
      </c>
      <c r="M3" s="1260">
        <f>'Simulac. Factura Indiv. Sen CE'!$B$3*(365/12)*'Datos Custos Factura Eléctrica'!$B$3</f>
        <v>10.037500000000001</v>
      </c>
      <c r="N3" s="1260">
        <f>'Simulac. Factura Indiv. Sen CE'!$B$3*(365/12)*'Datos Custos Factura Eléctrica'!$B$3</f>
        <v>10.037500000000001</v>
      </c>
      <c r="O3" s="1260">
        <f>'Simulac. Factura Indiv. Sen CE'!$B$3*(365/12)*'Datos Custos Factura Eléctrica'!$B$3</f>
        <v>10.037500000000001</v>
      </c>
      <c r="P3" s="1260">
        <f>'Simulac. Factura Indiv. Sen CE'!$B$3*(365/12)*'Datos Custos Factura Eléctrica'!$B$3</f>
        <v>10.037500000000001</v>
      </c>
      <c r="Q3" s="1260">
        <f>'Simulac. Factura Indiv. Sen CE'!$B$3*(365/12)*'Datos Custos Factura Eléctrica'!$B$3</f>
        <v>10.037500000000001</v>
      </c>
      <c r="R3" s="1260">
        <f>'Simulac. Factura Indiv. Sen CE'!$B$3*(365/12)*'Datos Custos Factura Eléctrica'!$B$3</f>
        <v>10.037500000000001</v>
      </c>
      <c r="S3" s="1260">
        <f>'Simulac. Factura Indiv. Sen CE'!$B$3*(365/12)*'Datos Custos Factura Eléctrica'!$B$3</f>
        <v>10.037500000000001</v>
      </c>
      <c r="T3" s="1260">
        <f>'Simulac. Factura Indiv. Sen CE'!$B$3*(365/12)*'Datos Custos Factura Eléctrica'!$B$3</f>
        <v>10.037500000000001</v>
      </c>
      <c r="U3" s="1260">
        <f>'Simulac. Factura Indiv. Sen CE'!$B$3*(365/12)*'Datos Custos Factura Eléctrica'!$B$3</f>
        <v>10.037500000000001</v>
      </c>
      <c r="V3" s="1260">
        <f>'Simulac. Factura Indiv. Sen CE'!$B$3*(365/12)*'Datos Custos Factura Eléctrica'!$B$3</f>
        <v>10.037500000000001</v>
      </c>
      <c r="W3" s="1260">
        <f>'Simulac. Factura Indiv. Sen CE'!$B$3*(365/12)*'Datos Custos Factura Eléctrica'!$B$3</f>
        <v>10.037500000000001</v>
      </c>
      <c r="X3" s="1260">
        <f>'Simulac. Factura Indiv. Sen CE'!$B$3*(365/12)*'Datos Custos Factura Eléctrica'!$B$3</f>
        <v>10.037500000000001</v>
      </c>
      <c r="Y3" s="1260">
        <f>'Simulac. Factura Indiv. Sen CE'!$B$3*(365/12)*'Datos Custos Factura Eléctrica'!$B$3</f>
        <v>10.037500000000001</v>
      </c>
      <c r="Z3" s="1260">
        <f>'Simulac. Factura Indiv. Sen CE'!$B$3*(365/12)*'Datos Custos Factura Eléctrica'!$B$3</f>
        <v>10.037500000000001</v>
      </c>
      <c r="AA3" s="145">
        <f>SUM(B3:Z3)</f>
        <v>250.93749999999991</v>
      </c>
    </row>
    <row r="4" spans="1:27" x14ac:dyDescent="0.3">
      <c r="A4" s="411" t="s">
        <v>574</v>
      </c>
      <c r="B4" s="1260">
        <f>'Simulac. Factura Indiv. Sen CE'!$B$3*(365/12)*'Datos Custos Factura Eléctrica'!$B4</f>
        <v>3.01125</v>
      </c>
      <c r="C4" s="1260">
        <f>'Simulac. Factura Indiv. Sen CE'!$B$3*(365/12)*'Datos Custos Factura Eléctrica'!$B4</f>
        <v>3.01125</v>
      </c>
      <c r="D4" s="1260">
        <f>'Simulac. Factura Indiv. Sen CE'!$B$3*(365/12)*'Datos Custos Factura Eléctrica'!$B4</f>
        <v>3.01125</v>
      </c>
      <c r="E4" s="1260">
        <f>'Simulac. Factura Indiv. Sen CE'!$B$3*(365/12)*'Datos Custos Factura Eléctrica'!$B4</f>
        <v>3.01125</v>
      </c>
      <c r="F4" s="1260">
        <f>'Simulac. Factura Indiv. Sen CE'!$B$3*(365/12)*'Datos Custos Factura Eléctrica'!$B4</f>
        <v>3.01125</v>
      </c>
      <c r="G4" s="1260">
        <f>'Simulac. Factura Indiv. Sen CE'!$B$3*(365/12)*'Datos Custos Factura Eléctrica'!$B4</f>
        <v>3.01125</v>
      </c>
      <c r="H4" s="1260">
        <f>'Simulac. Factura Indiv. Sen CE'!$B$3*(365/12)*'Datos Custos Factura Eléctrica'!$B4</f>
        <v>3.01125</v>
      </c>
      <c r="I4" s="1260">
        <f>'Simulac. Factura Indiv. Sen CE'!$B$3*(365/12)*'Datos Custos Factura Eléctrica'!$B4</f>
        <v>3.01125</v>
      </c>
      <c r="J4" s="1260">
        <f>'Simulac. Factura Indiv. Sen CE'!$B$3*(365/12)*'Datos Custos Factura Eléctrica'!$B4</f>
        <v>3.01125</v>
      </c>
      <c r="K4" s="1260">
        <f>'Simulac. Factura Indiv. Sen CE'!$B$3*(365/12)*'Datos Custos Factura Eléctrica'!$B4</f>
        <v>3.01125</v>
      </c>
      <c r="L4" s="1260">
        <f>'Simulac. Factura Indiv. Sen CE'!$B$3*(365/12)*'Datos Custos Factura Eléctrica'!$B4</f>
        <v>3.01125</v>
      </c>
      <c r="M4" s="1260">
        <f>'Simulac. Factura Indiv. Sen CE'!$B$3*(365/12)*'Datos Custos Factura Eléctrica'!$B4</f>
        <v>3.01125</v>
      </c>
      <c r="N4" s="1260">
        <f>'Simulac. Factura Indiv. Sen CE'!$B$3*(365/12)*'Datos Custos Factura Eléctrica'!$B4</f>
        <v>3.01125</v>
      </c>
      <c r="O4" s="1260">
        <f>'Simulac. Factura Indiv. Sen CE'!$B$3*(365/12)*'Datos Custos Factura Eléctrica'!$B4</f>
        <v>3.01125</v>
      </c>
      <c r="P4" s="1260">
        <f>'Simulac. Factura Indiv. Sen CE'!$B$3*(365/12)*'Datos Custos Factura Eléctrica'!$B4</f>
        <v>3.01125</v>
      </c>
      <c r="Q4" s="1260">
        <f>'Simulac. Factura Indiv. Sen CE'!$B$3*(365/12)*'Datos Custos Factura Eléctrica'!$B4</f>
        <v>3.01125</v>
      </c>
      <c r="R4" s="1260">
        <f>'Simulac. Factura Indiv. Sen CE'!$B$3*(365/12)*'Datos Custos Factura Eléctrica'!$B4</f>
        <v>3.01125</v>
      </c>
      <c r="S4" s="1260">
        <f>'Simulac. Factura Indiv. Sen CE'!$B$3*(365/12)*'Datos Custos Factura Eléctrica'!$B4</f>
        <v>3.01125</v>
      </c>
      <c r="T4" s="1260">
        <f>'Simulac. Factura Indiv. Sen CE'!$B$3*(365/12)*'Datos Custos Factura Eléctrica'!$B4</f>
        <v>3.01125</v>
      </c>
      <c r="U4" s="1260">
        <f>'Simulac. Factura Indiv. Sen CE'!$B$3*(365/12)*'Datos Custos Factura Eléctrica'!$B4</f>
        <v>3.01125</v>
      </c>
      <c r="V4" s="1260">
        <f>'Simulac. Factura Indiv. Sen CE'!$B$3*(365/12)*'Datos Custos Factura Eléctrica'!$B4</f>
        <v>3.01125</v>
      </c>
      <c r="W4" s="1260">
        <f>'Simulac. Factura Indiv. Sen CE'!$B$3*(365/12)*'Datos Custos Factura Eléctrica'!$B4</f>
        <v>3.01125</v>
      </c>
      <c r="X4" s="1260">
        <f>'Simulac. Factura Indiv. Sen CE'!$B$3*(365/12)*'Datos Custos Factura Eléctrica'!$B4</f>
        <v>3.01125</v>
      </c>
      <c r="Y4" s="1260">
        <f>'Simulac. Factura Indiv. Sen CE'!$B$3*(365/12)*'Datos Custos Factura Eléctrica'!$B4</f>
        <v>3.01125</v>
      </c>
      <c r="Z4" s="1260">
        <f>'Simulac. Factura Indiv. Sen CE'!$B$3*(365/12)*'Datos Custos Factura Eléctrica'!$B4</f>
        <v>3.01125</v>
      </c>
      <c r="AA4" s="145">
        <f>SUM(B4:Z4)</f>
        <v>75.281249999999986</v>
      </c>
    </row>
    <row r="5" spans="1:27" x14ac:dyDescent="0.3">
      <c r="A5" s="1319" t="s">
        <v>1080</v>
      </c>
      <c r="B5" s="1318">
        <f>B40*'Datos Custos Factura Eléctrica'!$B$5</f>
        <v>25.05</v>
      </c>
      <c r="C5" s="1318">
        <f>C40*'Datos Custos Factura Eléctrica'!$B$5</f>
        <v>14.700000000000001</v>
      </c>
      <c r="D5" s="1318">
        <f>D40*'Datos Custos Factura Eléctrica'!$B$5</f>
        <v>6.3000000000000007</v>
      </c>
      <c r="E5" s="1318">
        <f>E40*'Datos Custos Factura Eléctrica'!$B$5</f>
        <v>26.1</v>
      </c>
      <c r="F5" s="1318">
        <f>F40*'Datos Custos Factura Eléctrica'!$B$5</f>
        <v>5.45</v>
      </c>
      <c r="G5" s="1318">
        <f>G40*'Datos Custos Factura Eléctrica'!$B$5</f>
        <v>13.3</v>
      </c>
      <c r="H5" s="1318">
        <f>H40*'Datos Custos Factura Eléctrica'!$B$5</f>
        <v>23.05</v>
      </c>
      <c r="I5" s="1318">
        <f>I40*'Datos Custos Factura Eléctrica'!$B$5</f>
        <v>9.75</v>
      </c>
      <c r="J5" s="1318">
        <f>J40*'Datos Custos Factura Eléctrica'!$B$5</f>
        <v>7.1000000000000005</v>
      </c>
      <c r="K5" s="1318">
        <f>K40*'Datos Custos Factura Eléctrica'!$B$5</f>
        <v>7</v>
      </c>
      <c r="L5" s="1318">
        <f>L40*'Datos Custos Factura Eléctrica'!$B$5</f>
        <v>13.200000000000001</v>
      </c>
      <c r="M5" s="1318">
        <f>M40*'Datos Custos Factura Eléctrica'!$B$5</f>
        <v>20.950000000000003</v>
      </c>
      <c r="N5" s="1318">
        <f>N40*'Datos Custos Factura Eléctrica'!$B$5</f>
        <v>22.200000000000003</v>
      </c>
      <c r="O5" s="1318">
        <f>O40*'Datos Custos Factura Eléctrica'!$B$5</f>
        <v>5.95</v>
      </c>
      <c r="P5" s="1318">
        <f>P40*'Datos Custos Factura Eléctrica'!$B$5</f>
        <v>21.450000000000003</v>
      </c>
      <c r="Q5" s="1318">
        <f>Q40*'Datos Custos Factura Eléctrica'!$B$5</f>
        <v>4.4000000000000004</v>
      </c>
      <c r="R5" s="1318">
        <f>R40*'Datos Custos Factura Eléctrica'!$B$5</f>
        <v>17.650000000000002</v>
      </c>
      <c r="S5" s="1318">
        <f>S40*'Datos Custos Factura Eléctrica'!$B$5</f>
        <v>9.4500000000000011</v>
      </c>
      <c r="T5" s="1318">
        <f>T40*'Datos Custos Factura Eléctrica'!$B$5</f>
        <v>12.25</v>
      </c>
      <c r="U5" s="1318">
        <f>U40*'Datos Custos Factura Eléctrica'!$B$5</f>
        <v>21.200000000000003</v>
      </c>
      <c r="V5" s="1318">
        <f>V40*'Datos Custos Factura Eléctrica'!$B$5</f>
        <v>9.8000000000000007</v>
      </c>
      <c r="W5" s="1318">
        <f>W40*'Datos Custos Factura Eléctrica'!$B$5</f>
        <v>9.5500000000000007</v>
      </c>
      <c r="X5" s="1318">
        <f>X40*'Datos Custos Factura Eléctrica'!$B$5</f>
        <v>9.2000000000000011</v>
      </c>
      <c r="Y5" s="1318">
        <f>Y40*'Datos Custos Factura Eléctrica'!$B$5</f>
        <v>5.5</v>
      </c>
      <c r="Z5" s="1318">
        <f>Z40*'Datos Custos Factura Eléctrica'!$B$5</f>
        <v>15.55</v>
      </c>
      <c r="AA5" s="1317">
        <f>SUM(B5:Z5)</f>
        <v>336.09999999999997</v>
      </c>
    </row>
    <row r="6" spans="1:27" ht="15" thickBot="1" x14ac:dyDescent="0.35">
      <c r="A6" s="411" t="s">
        <v>577</v>
      </c>
      <c r="B6" s="1260">
        <f>'Datos Custos Factura Eléctrica'!$B$6*(365/12)</f>
        <v>1.1696729166666668</v>
      </c>
      <c r="C6" s="1260">
        <f>'Datos Custos Factura Eléctrica'!$B$6*(365/12)</f>
        <v>1.1696729166666668</v>
      </c>
      <c r="D6" s="1260">
        <f>'Datos Custos Factura Eléctrica'!$B$6*(365/12)</f>
        <v>1.1696729166666668</v>
      </c>
      <c r="E6" s="1260">
        <f>'Datos Custos Factura Eléctrica'!$B$6*(365/12)</f>
        <v>1.1696729166666668</v>
      </c>
      <c r="F6" s="1260">
        <f>'Datos Custos Factura Eléctrica'!$B$6*(365/12)</f>
        <v>1.1696729166666668</v>
      </c>
      <c r="G6" s="1260">
        <f>'Datos Custos Factura Eléctrica'!$B$6*(365/12)</f>
        <v>1.1696729166666668</v>
      </c>
      <c r="H6" s="1260">
        <f>'Datos Custos Factura Eléctrica'!$B$6*(365/12)</f>
        <v>1.1696729166666668</v>
      </c>
      <c r="I6" s="1260">
        <f>'Datos Custos Factura Eléctrica'!$B$6*(365/12)</f>
        <v>1.1696729166666668</v>
      </c>
      <c r="J6" s="1260">
        <f>'Datos Custos Factura Eléctrica'!$B$6*(365/12)</f>
        <v>1.1696729166666668</v>
      </c>
      <c r="K6" s="1260">
        <f>'Datos Custos Factura Eléctrica'!$B$6*(365/12)</f>
        <v>1.1696729166666668</v>
      </c>
      <c r="L6" s="1260">
        <f>'Datos Custos Factura Eléctrica'!$B$6*(365/12)</f>
        <v>1.1696729166666668</v>
      </c>
      <c r="M6" s="1260">
        <f>'Datos Custos Factura Eléctrica'!$B$6*(365/12)</f>
        <v>1.1696729166666668</v>
      </c>
      <c r="N6" s="1260">
        <f>'Datos Custos Factura Eléctrica'!$B$6*(365/12)</f>
        <v>1.1696729166666668</v>
      </c>
      <c r="O6" s="1260">
        <f>'Datos Custos Factura Eléctrica'!$B$6*(365/12)</f>
        <v>1.1696729166666668</v>
      </c>
      <c r="P6" s="1260">
        <f>'Datos Custos Factura Eléctrica'!$B$6*(365/12)</f>
        <v>1.1696729166666668</v>
      </c>
      <c r="Q6" s="1260">
        <f>'Datos Custos Factura Eléctrica'!$B$6*(365/12)</f>
        <v>1.1696729166666668</v>
      </c>
      <c r="R6" s="1260">
        <f>'Datos Custos Factura Eléctrica'!$B$6*(365/12)</f>
        <v>1.1696729166666668</v>
      </c>
      <c r="S6" s="1260">
        <f>'Datos Custos Factura Eléctrica'!$B$6*(365/12)</f>
        <v>1.1696729166666668</v>
      </c>
      <c r="T6" s="1260">
        <f>'Datos Custos Factura Eléctrica'!$B$6*(365/12)</f>
        <v>1.1696729166666668</v>
      </c>
      <c r="U6" s="1260">
        <f>'Datos Custos Factura Eléctrica'!$B$6*(365/12)</f>
        <v>1.1696729166666668</v>
      </c>
      <c r="V6" s="1260">
        <f>'Datos Custos Factura Eléctrica'!$B$6*(365/12)</f>
        <v>1.1696729166666668</v>
      </c>
      <c r="W6" s="1260">
        <f>'Datos Custos Factura Eléctrica'!$B$6*(365/12)</f>
        <v>1.1696729166666668</v>
      </c>
      <c r="X6" s="1260">
        <f>'Datos Custos Factura Eléctrica'!$B$6*(365/12)</f>
        <v>1.1696729166666668</v>
      </c>
      <c r="Y6" s="1260">
        <f>'Datos Custos Factura Eléctrica'!$B$6*(365/12)</f>
        <v>1.1696729166666668</v>
      </c>
      <c r="Z6" s="1260">
        <f>'Datos Custos Factura Eléctrica'!$B$6*(365/12)</f>
        <v>1.1696729166666668</v>
      </c>
      <c r="AA6" s="145">
        <f>SUM(B6:Z6)</f>
        <v>29.241822916666663</v>
      </c>
    </row>
    <row r="7" spans="1:27" ht="15" thickBot="1" x14ac:dyDescent="0.35">
      <c r="A7" s="1259" t="s">
        <v>1085</v>
      </c>
      <c r="B7" s="1258">
        <f t="shared" ref="B7:Z7" si="0">SUM(B3:B6)</f>
        <v>39.268422916666673</v>
      </c>
      <c r="C7" s="1258">
        <f t="shared" si="0"/>
        <v>28.918422916666668</v>
      </c>
      <c r="D7" s="1258">
        <f t="shared" si="0"/>
        <v>20.518422916666669</v>
      </c>
      <c r="E7" s="1258">
        <f t="shared" si="0"/>
        <v>40.318422916666677</v>
      </c>
      <c r="F7" s="1258">
        <f t="shared" si="0"/>
        <v>19.668422916666668</v>
      </c>
      <c r="G7" s="1258">
        <f t="shared" si="0"/>
        <v>27.518422916666669</v>
      </c>
      <c r="H7" s="1258">
        <f t="shared" si="0"/>
        <v>37.268422916666673</v>
      </c>
      <c r="I7" s="1258">
        <f t="shared" si="0"/>
        <v>23.968422916666668</v>
      </c>
      <c r="J7" s="1258">
        <f t="shared" si="0"/>
        <v>21.31842291666667</v>
      </c>
      <c r="K7" s="1258">
        <f t="shared" si="0"/>
        <v>21.218422916666668</v>
      </c>
      <c r="L7" s="1258">
        <f t="shared" si="0"/>
        <v>27.418422916666668</v>
      </c>
      <c r="M7" s="1258">
        <f t="shared" si="0"/>
        <v>35.168422916666671</v>
      </c>
      <c r="N7" s="1258">
        <f t="shared" si="0"/>
        <v>36.418422916666671</v>
      </c>
      <c r="O7" s="1258">
        <f t="shared" si="0"/>
        <v>20.168422916666668</v>
      </c>
      <c r="P7" s="1258">
        <f t="shared" si="0"/>
        <v>35.668422916666671</v>
      </c>
      <c r="Q7" s="1258">
        <f t="shared" si="0"/>
        <v>18.61842291666667</v>
      </c>
      <c r="R7" s="1258">
        <f t="shared" si="0"/>
        <v>31.86842291666667</v>
      </c>
      <c r="S7" s="1258">
        <f t="shared" si="0"/>
        <v>23.668422916666668</v>
      </c>
      <c r="T7" s="1258">
        <f t="shared" si="0"/>
        <v>26.468422916666668</v>
      </c>
      <c r="U7" s="1258">
        <f t="shared" si="0"/>
        <v>35.418422916666671</v>
      </c>
      <c r="V7" s="1258">
        <f t="shared" si="0"/>
        <v>24.018422916666669</v>
      </c>
      <c r="W7" s="1258">
        <f t="shared" si="0"/>
        <v>23.768422916666669</v>
      </c>
      <c r="X7" s="1258">
        <f t="shared" si="0"/>
        <v>23.418422916666668</v>
      </c>
      <c r="Y7" s="1257">
        <f t="shared" si="0"/>
        <v>19.718422916666668</v>
      </c>
      <c r="Z7" s="1256">
        <f t="shared" si="0"/>
        <v>29.768422916666669</v>
      </c>
      <c r="AA7" s="1256">
        <f>SUM(B7:Z7)</f>
        <v>691.56057291666662</v>
      </c>
    </row>
    <row r="8" spans="1:27" x14ac:dyDescent="0.3">
      <c r="A8" s="411"/>
      <c r="B8" s="389"/>
      <c r="C8" s="38"/>
    </row>
    <row r="9" spans="1:27" x14ac:dyDescent="0.3">
      <c r="A9" s="411" t="s">
        <v>582</v>
      </c>
      <c r="B9" s="1255">
        <f>B7*'Simulac. Factura Indiv. Sen CE'!$C$8</f>
        <v>0.19634211458333337</v>
      </c>
      <c r="C9" s="1255">
        <f>C7*'Simulac. Factura Indiv. Sen CE'!$C$8</f>
        <v>0.14459211458333335</v>
      </c>
      <c r="D9" s="1255">
        <f>D7*'Simulac. Factura Indiv. Sen CE'!$C$8</f>
        <v>0.10259211458333335</v>
      </c>
      <c r="E9" s="1255">
        <f>E7*'Simulac. Factura Indiv. Sen CE'!$C$8</f>
        <v>0.2015921145833334</v>
      </c>
      <c r="F9" s="1255">
        <f>F7*'Simulac. Factura Indiv. Sen CE'!$C$8</f>
        <v>9.8342114583333334E-2</v>
      </c>
      <c r="G9" s="1255">
        <f>G7*'Simulac. Factura Indiv. Sen CE'!$C$8</f>
        <v>0.13759211458333334</v>
      </c>
      <c r="H9" s="1255">
        <f>H7*'Simulac. Factura Indiv. Sen CE'!$C$8</f>
        <v>0.18634211458333336</v>
      </c>
      <c r="I9" s="1255">
        <f>I7*'Simulac. Factura Indiv. Sen CE'!$C$8</f>
        <v>0.11984211458333334</v>
      </c>
      <c r="J9" s="1255">
        <f>J7*'Simulac. Factura Indiv. Sen CE'!$C$8</f>
        <v>0.10659211458333336</v>
      </c>
      <c r="K9" s="1255">
        <f>K7*'Simulac. Factura Indiv. Sen CE'!$C$8</f>
        <v>0.10609211458333334</v>
      </c>
      <c r="L9" s="1255">
        <f>L7*'Simulac. Factura Indiv. Sen CE'!$C$8</f>
        <v>0.13709211458333334</v>
      </c>
      <c r="M9" s="1255">
        <f>M7*'Simulac. Factura Indiv. Sen CE'!$C$8</f>
        <v>0.17584211458333335</v>
      </c>
      <c r="N9" s="1255">
        <f>N7*'Simulac. Factura Indiv. Sen CE'!$C$8</f>
        <v>0.18209211458333335</v>
      </c>
      <c r="O9" s="1255">
        <f>O7*'Simulac. Factura Indiv. Sen CE'!$C$8</f>
        <v>0.10084211458333334</v>
      </c>
      <c r="P9" s="1255">
        <f>P7*'Simulac. Factura Indiv. Sen CE'!$C$8</f>
        <v>0.17834211458333335</v>
      </c>
      <c r="Q9" s="1255">
        <f>Q7*'Simulac. Factura Indiv. Sen CE'!$C$8</f>
        <v>9.3092114583333357E-2</v>
      </c>
      <c r="R9" s="1255">
        <f>R7*'Simulac. Factura Indiv. Sen CE'!$C$8</f>
        <v>0.15934211458333336</v>
      </c>
      <c r="S9" s="1255">
        <f>S7*'Simulac. Factura Indiv. Sen CE'!$C$8</f>
        <v>0.11834211458333334</v>
      </c>
      <c r="T9" s="1255">
        <f>T7*'Simulac. Factura Indiv. Sen CE'!$C$8</f>
        <v>0.13234211458333334</v>
      </c>
      <c r="U9" s="1255">
        <f>U7*'Simulac. Factura Indiv. Sen CE'!$C$8</f>
        <v>0.17709211458333335</v>
      </c>
      <c r="V9" s="1255">
        <f>V7*'Simulac. Factura Indiv. Sen CE'!$C$8</f>
        <v>0.12009211458333335</v>
      </c>
      <c r="W9" s="1255">
        <f>W7*'Simulac. Factura Indiv. Sen CE'!$C$8</f>
        <v>0.11884211458333335</v>
      </c>
      <c r="X9" s="1255">
        <f>X7*'Simulac. Factura Indiv. Sen CE'!$C$8</f>
        <v>0.11709211458333334</v>
      </c>
      <c r="Y9" s="1255">
        <f>Y7*'Simulac. Factura Indiv. Sen CE'!$C$8</f>
        <v>9.8592114583333348E-2</v>
      </c>
      <c r="Z9" s="1255">
        <f>Z7*'Simulac. Factura Indiv. Sen CE'!$C$8</f>
        <v>0.14884211458333335</v>
      </c>
      <c r="AA9" s="145">
        <f>SUM(B9:Z9)</f>
        <v>3.4578028645833339</v>
      </c>
    </row>
    <row r="10" spans="1:27" x14ac:dyDescent="0.3">
      <c r="A10" s="411"/>
      <c r="B10" s="389"/>
      <c r="C10" s="38"/>
    </row>
    <row r="11" spans="1:27" x14ac:dyDescent="0.3">
      <c r="A11" s="411" t="s">
        <v>585</v>
      </c>
      <c r="B11" s="1260">
        <f>'Datos Custos Factura Eléctrica'!$B$11*(365/12)</f>
        <v>0.81474083333333336</v>
      </c>
      <c r="C11" s="1260">
        <f>'Datos Custos Factura Eléctrica'!$B$11*(365/12)</f>
        <v>0.81474083333333336</v>
      </c>
      <c r="D11" s="1260">
        <f>'Datos Custos Factura Eléctrica'!$B$11*(365/12)</f>
        <v>0.81474083333333336</v>
      </c>
      <c r="E11" s="1260">
        <f>'Datos Custos Factura Eléctrica'!$B$11*(365/12)</f>
        <v>0.81474083333333336</v>
      </c>
      <c r="F11" s="1260">
        <f>'Datos Custos Factura Eléctrica'!$B$11*(365/12)</f>
        <v>0.81474083333333336</v>
      </c>
      <c r="G11" s="1260">
        <f>'Datos Custos Factura Eléctrica'!$B$11*(365/12)</f>
        <v>0.81474083333333336</v>
      </c>
      <c r="H11" s="1260">
        <f>'Datos Custos Factura Eléctrica'!$B$11*(365/12)</f>
        <v>0.81474083333333336</v>
      </c>
      <c r="I11" s="1260">
        <f>'Datos Custos Factura Eléctrica'!$B$11*(365/12)</f>
        <v>0.81474083333333336</v>
      </c>
      <c r="J11" s="1260">
        <f>'Datos Custos Factura Eléctrica'!$B$11*(365/12)</f>
        <v>0.81474083333333336</v>
      </c>
      <c r="K11" s="1260">
        <f>'Datos Custos Factura Eléctrica'!$B$11*(365/12)</f>
        <v>0.81474083333333336</v>
      </c>
      <c r="L11" s="1260">
        <f>'Datos Custos Factura Eléctrica'!$B$11*(365/12)</f>
        <v>0.81474083333333336</v>
      </c>
      <c r="M11" s="1260">
        <f>'Datos Custos Factura Eléctrica'!$B$11*(365/12)</f>
        <v>0.81474083333333336</v>
      </c>
      <c r="N11" s="1260">
        <f>'Datos Custos Factura Eléctrica'!$B$11*(365/12)</f>
        <v>0.81474083333333336</v>
      </c>
      <c r="O11" s="1260">
        <f>'Datos Custos Factura Eléctrica'!$B$11*(365/12)</f>
        <v>0.81474083333333336</v>
      </c>
      <c r="P11" s="1260">
        <f>'Datos Custos Factura Eléctrica'!$B$11*(365/12)</f>
        <v>0.81474083333333336</v>
      </c>
      <c r="Q11" s="1260">
        <f>'Datos Custos Factura Eléctrica'!$B$11*(365/12)</f>
        <v>0.81474083333333336</v>
      </c>
      <c r="R11" s="1260">
        <f>'Datos Custos Factura Eléctrica'!$B$11*(365/12)</f>
        <v>0.81474083333333336</v>
      </c>
      <c r="S11" s="1260">
        <f>'Datos Custos Factura Eléctrica'!$B$11*(365/12)</f>
        <v>0.81474083333333336</v>
      </c>
      <c r="T11" s="1260">
        <f>'Datos Custos Factura Eléctrica'!$B$11*(365/12)</f>
        <v>0.81474083333333336</v>
      </c>
      <c r="U11" s="1260">
        <f>'Datos Custos Factura Eléctrica'!$B$11*(365/12)</f>
        <v>0.81474083333333336</v>
      </c>
      <c r="V11" s="1260">
        <f>'Datos Custos Factura Eléctrica'!$B$11*(365/12)</f>
        <v>0.81474083333333336</v>
      </c>
      <c r="W11" s="1260">
        <f>'Datos Custos Factura Eléctrica'!$B$11*(365/12)</f>
        <v>0.81474083333333336</v>
      </c>
      <c r="X11" s="1260">
        <f>'Datos Custos Factura Eléctrica'!$B$11*(365/12)</f>
        <v>0.81474083333333336</v>
      </c>
      <c r="Y11" s="1260">
        <f>'Datos Custos Factura Eléctrica'!$B$11*(365/12)</f>
        <v>0.81474083333333336</v>
      </c>
      <c r="Z11" s="1260">
        <f>'Datos Custos Factura Eléctrica'!$B$11*(365/12)</f>
        <v>0.81474083333333336</v>
      </c>
      <c r="AA11" s="145">
        <f>SUM(B11:Z11)</f>
        <v>20.368520833333324</v>
      </c>
    </row>
    <row r="12" spans="1:27" ht="15" thickBot="1" x14ac:dyDescent="0.35">
      <c r="A12" s="411"/>
      <c r="B12" s="389"/>
      <c r="C12" s="38"/>
    </row>
    <row r="13" spans="1:27" ht="15" thickBot="1" x14ac:dyDescent="0.35">
      <c r="A13" s="1259" t="s">
        <v>1084</v>
      </c>
      <c r="B13" s="1258">
        <f t="shared" ref="B13:Z13" si="1">B7+B9+B11</f>
        <v>40.279505864583335</v>
      </c>
      <c r="C13" s="1258">
        <f t="shared" si="1"/>
        <v>29.877755864583332</v>
      </c>
      <c r="D13" s="1258">
        <f t="shared" si="1"/>
        <v>21.435755864583335</v>
      </c>
      <c r="E13" s="1258">
        <f t="shared" si="1"/>
        <v>41.334755864583343</v>
      </c>
      <c r="F13" s="1258">
        <f t="shared" si="1"/>
        <v>20.581505864583331</v>
      </c>
      <c r="G13" s="1258">
        <f t="shared" si="1"/>
        <v>28.470755864583335</v>
      </c>
      <c r="H13" s="1258">
        <f t="shared" si="1"/>
        <v>38.269505864583337</v>
      </c>
      <c r="I13" s="1258">
        <f t="shared" si="1"/>
        <v>24.903005864583335</v>
      </c>
      <c r="J13" s="1258">
        <f t="shared" si="1"/>
        <v>22.239755864583334</v>
      </c>
      <c r="K13" s="1258">
        <f t="shared" si="1"/>
        <v>22.139255864583333</v>
      </c>
      <c r="L13" s="1258">
        <f t="shared" si="1"/>
        <v>28.370255864583331</v>
      </c>
      <c r="M13" s="1258">
        <f t="shared" si="1"/>
        <v>36.159005864583335</v>
      </c>
      <c r="N13" s="1258">
        <f t="shared" si="1"/>
        <v>37.415255864583337</v>
      </c>
      <c r="O13" s="1258">
        <f t="shared" si="1"/>
        <v>21.084005864583332</v>
      </c>
      <c r="P13" s="1258">
        <f t="shared" si="1"/>
        <v>36.661505864583333</v>
      </c>
      <c r="Q13" s="1258">
        <f t="shared" si="1"/>
        <v>19.526255864583334</v>
      </c>
      <c r="R13" s="1258">
        <f t="shared" si="1"/>
        <v>32.842505864583337</v>
      </c>
      <c r="S13" s="1258">
        <f t="shared" si="1"/>
        <v>24.601505864583334</v>
      </c>
      <c r="T13" s="1258">
        <f t="shared" si="1"/>
        <v>27.415505864583334</v>
      </c>
      <c r="U13" s="1258">
        <f t="shared" si="1"/>
        <v>36.410255864583334</v>
      </c>
      <c r="V13" s="1258">
        <f t="shared" si="1"/>
        <v>24.953255864583333</v>
      </c>
      <c r="W13" s="1258">
        <f t="shared" si="1"/>
        <v>24.702005864583334</v>
      </c>
      <c r="X13" s="1258">
        <f t="shared" si="1"/>
        <v>24.350255864583332</v>
      </c>
      <c r="Y13" s="1257">
        <f t="shared" si="1"/>
        <v>20.631755864583333</v>
      </c>
      <c r="Z13" s="1256">
        <f t="shared" si="1"/>
        <v>30.732005864583336</v>
      </c>
      <c r="AA13" s="1256">
        <f>SUM(B13:Z13)</f>
        <v>715.38689661458341</v>
      </c>
    </row>
    <row r="14" spans="1:27" x14ac:dyDescent="0.3">
      <c r="A14" s="411"/>
      <c r="B14" s="389"/>
      <c r="C14" s="38"/>
    </row>
    <row r="15" spans="1:27" x14ac:dyDescent="0.3">
      <c r="A15" s="411" t="s">
        <v>1083</v>
      </c>
      <c r="B15" s="1255">
        <f>'Simulac. Factura Indiv. Sen CE'!$C$14*B13</f>
        <v>8.4586962315625005</v>
      </c>
      <c r="C15" s="1255">
        <f>'Simulac. Factura Indiv. Sen CE'!$C$14*C13</f>
        <v>6.2743287315624992</v>
      </c>
      <c r="D15" s="1255">
        <f>'Simulac. Factura Indiv. Sen CE'!$C$14*D13</f>
        <v>4.5015087315624998</v>
      </c>
      <c r="E15" s="1255">
        <f>'Simulac. Factura Indiv. Sen CE'!$C$14*E13</f>
        <v>8.6802987315625018</v>
      </c>
      <c r="F15" s="1255">
        <f>'Simulac. Factura Indiv. Sen CE'!$C$14*F13</f>
        <v>4.3221162315624992</v>
      </c>
      <c r="G15" s="1255">
        <f>'Simulac. Factura Indiv. Sen CE'!$C$14*G13</f>
        <v>5.9788587315625001</v>
      </c>
      <c r="H15" s="1255">
        <f>'Simulac. Factura Indiv. Sen CE'!$C$14*H13</f>
        <v>8.0365962315625001</v>
      </c>
      <c r="I15" s="1255">
        <f>'Simulac. Factura Indiv. Sen CE'!$C$14*I13</f>
        <v>5.2296312315625002</v>
      </c>
      <c r="J15" s="1255">
        <f>'Simulac. Factura Indiv. Sen CE'!$C$14*J13</f>
        <v>4.6703487315625001</v>
      </c>
      <c r="K15" s="1255">
        <f>'Simulac. Factura Indiv. Sen CE'!$C$14*K13</f>
        <v>4.6492437315624997</v>
      </c>
      <c r="L15" s="1255">
        <f>'Simulac. Factura Indiv. Sen CE'!$C$14*L13</f>
        <v>5.9577537315624998</v>
      </c>
      <c r="M15" s="1255">
        <f>'Simulac. Factura Indiv. Sen CE'!$C$14*M13</f>
        <v>7.5933912315625003</v>
      </c>
      <c r="N15" s="1255">
        <f>'Simulac. Factura Indiv. Sen CE'!$C$14*N13</f>
        <v>7.8572037315625005</v>
      </c>
      <c r="O15" s="1255">
        <f>'Simulac. Factura Indiv. Sen CE'!$C$14*O13</f>
        <v>4.4276412315624993</v>
      </c>
      <c r="P15" s="1255">
        <f>'Simulac. Factura Indiv. Sen CE'!$C$14*P13</f>
        <v>7.6989162315624995</v>
      </c>
      <c r="Q15" s="1255">
        <f>'Simulac. Factura Indiv. Sen CE'!$C$14*Q13</f>
        <v>4.1005137315624998</v>
      </c>
      <c r="R15" s="1255">
        <f>'Simulac. Factura Indiv. Sen CE'!$C$14*R13</f>
        <v>6.8969262315625004</v>
      </c>
      <c r="S15" s="1255">
        <f>'Simulac. Factura Indiv. Sen CE'!$C$14*S13</f>
        <v>5.1663162315625</v>
      </c>
      <c r="T15" s="1255">
        <f>'Simulac. Factura Indiv. Sen CE'!$C$14*T13</f>
        <v>5.7572562315624998</v>
      </c>
      <c r="U15" s="1255">
        <f>'Simulac. Factura Indiv. Sen CE'!$C$14*U13</f>
        <v>7.6461537315624994</v>
      </c>
      <c r="V15" s="1255">
        <f>'Simulac. Factura Indiv. Sen CE'!$C$14*V13</f>
        <v>5.2401837315624995</v>
      </c>
      <c r="W15" s="1255">
        <f>'Simulac. Factura Indiv. Sen CE'!$C$14*W13</f>
        <v>5.1874212315625003</v>
      </c>
      <c r="X15" s="1255">
        <f>'Simulac. Factura Indiv. Sen CE'!$C$14*X13</f>
        <v>5.1135537315624999</v>
      </c>
      <c r="Y15" s="1255">
        <f>'Simulac. Factura Indiv. Sen CE'!$C$14*Y13</f>
        <v>4.3326687315624994</v>
      </c>
      <c r="Z15" s="1255">
        <f>'Simulac. Factura Indiv. Sen CE'!$C$14*Z13</f>
        <v>6.4537212315625005</v>
      </c>
      <c r="AA15" s="145">
        <f>SUM(B15:Z15)</f>
        <v>150.23124828906251</v>
      </c>
    </row>
    <row r="16" spans="1:27" ht="15" thickBot="1" x14ac:dyDescent="0.35">
      <c r="A16" s="411"/>
      <c r="B16" s="389"/>
      <c r="C16" s="38"/>
    </row>
    <row r="17" spans="1:27" ht="15" thickBot="1" x14ac:dyDescent="0.35">
      <c r="A17" s="1254" t="s">
        <v>1082</v>
      </c>
      <c r="B17" s="1253">
        <f t="shared" ref="B17:Z17" si="2">B13+B15</f>
        <v>48.738202096145834</v>
      </c>
      <c r="C17" s="1253">
        <f t="shared" si="2"/>
        <v>36.152084596145833</v>
      </c>
      <c r="D17" s="1253">
        <f t="shared" si="2"/>
        <v>25.937264596145834</v>
      </c>
      <c r="E17" s="1253">
        <f t="shared" si="2"/>
        <v>50.015054596145845</v>
      </c>
      <c r="F17" s="1253">
        <f t="shared" si="2"/>
        <v>24.903622096145831</v>
      </c>
      <c r="G17" s="1253">
        <f t="shared" si="2"/>
        <v>34.449614596145835</v>
      </c>
      <c r="H17" s="1253">
        <f t="shared" si="2"/>
        <v>46.306102096145835</v>
      </c>
      <c r="I17" s="1253">
        <f t="shared" si="2"/>
        <v>30.132637096145835</v>
      </c>
      <c r="J17" s="1253">
        <f t="shared" si="2"/>
        <v>26.910104596145835</v>
      </c>
      <c r="K17" s="1253">
        <f t="shared" si="2"/>
        <v>26.788499596145833</v>
      </c>
      <c r="L17" s="1253">
        <f t="shared" si="2"/>
        <v>34.328009596145833</v>
      </c>
      <c r="M17" s="1253">
        <f t="shared" si="2"/>
        <v>43.752397096145835</v>
      </c>
      <c r="N17" s="1253">
        <f t="shared" si="2"/>
        <v>45.272459596145836</v>
      </c>
      <c r="O17" s="1253">
        <f t="shared" si="2"/>
        <v>25.511647096145833</v>
      </c>
      <c r="P17" s="1253">
        <f t="shared" si="2"/>
        <v>44.360422096145832</v>
      </c>
      <c r="Q17" s="1253">
        <f t="shared" si="2"/>
        <v>23.626769596145834</v>
      </c>
      <c r="R17" s="1253">
        <f t="shared" si="2"/>
        <v>39.73943209614584</v>
      </c>
      <c r="S17" s="1253">
        <f t="shared" si="2"/>
        <v>29.767822096145835</v>
      </c>
      <c r="T17" s="1253">
        <f t="shared" si="2"/>
        <v>33.172762096145831</v>
      </c>
      <c r="U17" s="1253">
        <f t="shared" si="2"/>
        <v>44.056409596145834</v>
      </c>
      <c r="V17" s="1253">
        <f t="shared" si="2"/>
        <v>30.193439596145833</v>
      </c>
      <c r="W17" s="1253">
        <f t="shared" si="2"/>
        <v>29.889427096145834</v>
      </c>
      <c r="X17" s="1253">
        <f t="shared" si="2"/>
        <v>29.463809596145833</v>
      </c>
      <c r="Y17" s="1253">
        <f t="shared" si="2"/>
        <v>24.964424596145832</v>
      </c>
      <c r="Z17" s="1252">
        <f t="shared" si="2"/>
        <v>37.18572709614584</v>
      </c>
      <c r="AA17" s="1251">
        <f>SUM(B17:Z17)</f>
        <v>865.61814490364554</v>
      </c>
    </row>
    <row r="18" spans="1:27" x14ac:dyDescent="0.3">
      <c r="B18" s="389"/>
      <c r="C18" s="38"/>
    </row>
    <row r="19" spans="1:27" ht="15" thickBot="1" x14ac:dyDescent="0.35">
      <c r="B19" s="389"/>
      <c r="C19" s="38"/>
    </row>
    <row r="20" spans="1:27" ht="15" thickBot="1" x14ac:dyDescent="0.35">
      <c r="A20" s="1312" t="s">
        <v>1096</v>
      </c>
      <c r="B20" s="1392"/>
      <c r="C20" s="1391"/>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1279"/>
    </row>
    <row r="21" spans="1:27" ht="28.8" x14ac:dyDescent="0.3">
      <c r="A21" s="1310" t="s">
        <v>1093</v>
      </c>
      <c r="B21" s="1260">
        <f>B33*'General Real Data (Obs.)'!$E$237</f>
        <v>12.525</v>
      </c>
      <c r="C21" s="1260">
        <f>C33*'General Real Data (Obs.)'!$E$237</f>
        <v>7.3500000000000005</v>
      </c>
      <c r="D21" s="1260">
        <f>D33*'General Real Data (Obs.)'!$E$237</f>
        <v>3.1500000000000004</v>
      </c>
      <c r="E21" s="1260">
        <f>E33*'General Real Data (Obs.)'!$E$237</f>
        <v>13.05</v>
      </c>
      <c r="F21" s="1260">
        <f>F33*'General Real Data (Obs.)'!$E$237</f>
        <v>2.7250000000000001</v>
      </c>
      <c r="G21" s="1260">
        <f>G33*'General Real Data (Obs.)'!$E$237</f>
        <v>6.65</v>
      </c>
      <c r="H21" s="1260">
        <f>H33*'General Real Data (Obs.)'!$E$237</f>
        <v>11.525</v>
      </c>
      <c r="I21" s="1260">
        <f>I33*'General Real Data (Obs.)'!$E$237</f>
        <v>4.875</v>
      </c>
      <c r="J21" s="1260">
        <f>J33*'General Real Data (Obs.)'!$E$237</f>
        <v>3.5500000000000003</v>
      </c>
      <c r="K21" s="1260">
        <f>K33*'General Real Data (Obs.)'!$E$237</f>
        <v>3.5</v>
      </c>
      <c r="L21" s="1260">
        <f>L33*'General Real Data (Obs.)'!$E$237</f>
        <v>6.6000000000000005</v>
      </c>
      <c r="M21" s="1260">
        <f>M33*'General Real Data (Obs.)'!$E$237</f>
        <v>10.475000000000001</v>
      </c>
      <c r="N21" s="1260">
        <f>N33*'General Real Data (Obs.)'!$E$237</f>
        <v>11.100000000000001</v>
      </c>
      <c r="O21" s="1260">
        <f>O33*'General Real Data (Obs.)'!$E$237</f>
        <v>2.9750000000000001</v>
      </c>
      <c r="P21" s="1260">
        <f>P33*'General Real Data (Obs.)'!$E$237</f>
        <v>10.725000000000001</v>
      </c>
      <c r="Q21" s="1260">
        <f>Q33*'General Real Data (Obs.)'!$E$237</f>
        <v>2.2000000000000002</v>
      </c>
      <c r="R21" s="1260">
        <f>R33*'General Real Data (Obs.)'!$E$237</f>
        <v>8.8250000000000011</v>
      </c>
      <c r="S21" s="1260">
        <f>S33*'General Real Data (Obs.)'!$E$237</f>
        <v>4.7250000000000005</v>
      </c>
      <c r="T21" s="1260">
        <f>T33*'General Real Data (Obs.)'!$E$237</f>
        <v>6.125</v>
      </c>
      <c r="U21" s="1260">
        <f>U33*'General Real Data (Obs.)'!$E$237</f>
        <v>10.600000000000001</v>
      </c>
      <c r="V21" s="1260">
        <f>V33*'General Real Data (Obs.)'!$E$237</f>
        <v>4.9000000000000004</v>
      </c>
      <c r="W21" s="1260">
        <f>W33*'General Real Data (Obs.)'!$E$237</f>
        <v>4.7750000000000004</v>
      </c>
      <c r="X21" s="1260">
        <f>X33*'General Real Data (Obs.)'!$E$237</f>
        <v>4.6000000000000005</v>
      </c>
      <c r="Y21" s="1260">
        <f>Y33*'General Real Data (Obs.)'!$E$237</f>
        <v>2.75</v>
      </c>
      <c r="Z21" s="1260">
        <f>Z33*'General Real Data (Obs.)'!$E$237</f>
        <v>7.7750000000000004</v>
      </c>
      <c r="AA21" s="1013">
        <f>SUM(B21:Z21)</f>
        <v>168.04999999999998</v>
      </c>
    </row>
    <row r="22" spans="1:27" ht="15" thickBot="1" x14ac:dyDescent="0.35">
      <c r="A22" s="1310" t="s">
        <v>1092</v>
      </c>
      <c r="B22" s="1255">
        <f>B34*'General Real Data (Obs.)'!$E$238</f>
        <v>0</v>
      </c>
      <c r="C22" s="1255">
        <f>C34*'General Real Data (Obs.)'!$E$238</f>
        <v>0</v>
      </c>
      <c r="D22" s="1255">
        <f>D34*'General Real Data (Obs.)'!$E$238</f>
        <v>0</v>
      </c>
      <c r="E22" s="1255">
        <f>E34*'General Real Data (Obs.)'!$E$238</f>
        <v>0</v>
      </c>
      <c r="F22" s="1255">
        <f>F34*'General Real Data (Obs.)'!$E$238</f>
        <v>0</v>
      </c>
      <c r="G22" s="1255">
        <f>G34*'General Real Data (Obs.)'!$E$238</f>
        <v>0</v>
      </c>
      <c r="H22" s="1255">
        <f>H34*'General Real Data (Obs.)'!$E$238</f>
        <v>0</v>
      </c>
      <c r="I22" s="1255">
        <f>I34*'General Real Data (Obs.)'!$E$238</f>
        <v>0</v>
      </c>
      <c r="J22" s="1255">
        <f>J34*'General Real Data (Obs.)'!$E$238</f>
        <v>0</v>
      </c>
      <c r="K22" s="1255">
        <f>K34*'General Real Data (Obs.)'!$E$238</f>
        <v>0</v>
      </c>
      <c r="L22" s="1255">
        <f>L34*'General Real Data (Obs.)'!$E$238</f>
        <v>0</v>
      </c>
      <c r="M22" s="1255">
        <f>M34*'General Real Data (Obs.)'!$E$238</f>
        <v>0</v>
      </c>
      <c r="N22" s="1255">
        <f>N34*'General Real Data (Obs.)'!$E$238</f>
        <v>0</v>
      </c>
      <c r="O22" s="1255">
        <f>O34*'General Real Data (Obs.)'!$E$238</f>
        <v>0</v>
      </c>
      <c r="P22" s="1255">
        <f>P34*'General Real Data (Obs.)'!$E$238</f>
        <v>0</v>
      </c>
      <c r="Q22" s="1255">
        <f>Q34*'General Real Data (Obs.)'!$E$238</f>
        <v>0</v>
      </c>
      <c r="R22" s="1255">
        <f>R34*'General Real Data (Obs.)'!$E$238</f>
        <v>0</v>
      </c>
      <c r="S22" s="1255">
        <f>S34*'General Real Data (Obs.)'!$E$238</f>
        <v>0</v>
      </c>
      <c r="T22" s="1255">
        <f>T34*'General Real Data (Obs.)'!$E$238</f>
        <v>0</v>
      </c>
      <c r="U22" s="1255">
        <f>U34*'General Real Data (Obs.)'!$E$238</f>
        <v>0</v>
      </c>
      <c r="V22" s="1255">
        <f>V34*'General Real Data (Obs.)'!$E$238</f>
        <v>0</v>
      </c>
      <c r="W22" s="1255">
        <f>W34*'General Real Data (Obs.)'!$E$238</f>
        <v>0</v>
      </c>
      <c r="X22" s="1255">
        <f>X34*'General Real Data (Obs.)'!$E$238</f>
        <v>0</v>
      </c>
      <c r="Y22" s="1255">
        <f>Y34*'General Real Data (Obs.)'!$E$238</f>
        <v>0</v>
      </c>
      <c r="Z22" s="1255">
        <f>Z34*'General Real Data (Obs.)'!$E$238</f>
        <v>0</v>
      </c>
      <c r="AA22" s="145">
        <f>SUM(B22:Z22)</f>
        <v>0</v>
      </c>
    </row>
    <row r="23" spans="1:27" ht="15" thickBot="1" x14ac:dyDescent="0.35">
      <c r="A23" s="1254" t="s">
        <v>1091</v>
      </c>
      <c r="B23" s="1390">
        <f>SUM(B21:B22)</f>
        <v>12.525</v>
      </c>
      <c r="C23" s="1389">
        <f t="shared" ref="C23:Y23" si="3">SUM(C21:C22)</f>
        <v>7.3500000000000005</v>
      </c>
      <c r="D23" s="1389">
        <f t="shared" si="3"/>
        <v>3.1500000000000004</v>
      </c>
      <c r="E23" s="1389">
        <f t="shared" si="3"/>
        <v>13.05</v>
      </c>
      <c r="F23" s="1389">
        <f t="shared" si="3"/>
        <v>2.7250000000000001</v>
      </c>
      <c r="G23" s="1389">
        <f t="shared" si="3"/>
        <v>6.65</v>
      </c>
      <c r="H23" s="1389">
        <f t="shared" si="3"/>
        <v>11.525</v>
      </c>
      <c r="I23" s="1389">
        <f t="shared" si="3"/>
        <v>4.875</v>
      </c>
      <c r="J23" s="1389">
        <f t="shared" si="3"/>
        <v>3.5500000000000003</v>
      </c>
      <c r="K23" s="1389">
        <f t="shared" si="3"/>
        <v>3.5</v>
      </c>
      <c r="L23" s="1389">
        <f t="shared" si="3"/>
        <v>6.6000000000000005</v>
      </c>
      <c r="M23" s="1389">
        <f t="shared" si="3"/>
        <v>10.475000000000001</v>
      </c>
      <c r="N23" s="1389">
        <f t="shared" si="3"/>
        <v>11.100000000000001</v>
      </c>
      <c r="O23" s="1389">
        <f t="shared" si="3"/>
        <v>2.9750000000000001</v>
      </c>
      <c r="P23" s="1389">
        <f t="shared" si="3"/>
        <v>10.725000000000001</v>
      </c>
      <c r="Q23" s="1389">
        <f t="shared" si="3"/>
        <v>2.2000000000000002</v>
      </c>
      <c r="R23" s="1389">
        <f t="shared" si="3"/>
        <v>8.8250000000000011</v>
      </c>
      <c r="S23" s="1389">
        <f t="shared" si="3"/>
        <v>4.7250000000000005</v>
      </c>
      <c r="T23" s="1389">
        <f t="shared" si="3"/>
        <v>6.125</v>
      </c>
      <c r="U23" s="1389">
        <f t="shared" si="3"/>
        <v>10.600000000000001</v>
      </c>
      <c r="V23" s="1389">
        <f t="shared" si="3"/>
        <v>4.9000000000000004</v>
      </c>
      <c r="W23" s="1389">
        <f t="shared" si="3"/>
        <v>4.7750000000000004</v>
      </c>
      <c r="X23" s="1389">
        <f t="shared" si="3"/>
        <v>4.6000000000000005</v>
      </c>
      <c r="Y23" s="1389">
        <f t="shared" si="3"/>
        <v>2.75</v>
      </c>
      <c r="Z23" s="1388">
        <f>SUM(Z21:Z22)</f>
        <v>7.7750000000000004</v>
      </c>
      <c r="AA23" s="1251">
        <f>SUM(B23:Z23)</f>
        <v>168.04999999999998</v>
      </c>
    </row>
    <row r="24" spans="1:27" x14ac:dyDescent="0.3">
      <c r="B24" s="389"/>
      <c r="C24" s="38"/>
    </row>
    <row r="25" spans="1:27" x14ac:dyDescent="0.3">
      <c r="B25" s="389"/>
      <c r="C25" s="38"/>
    </row>
    <row r="26" spans="1:27" x14ac:dyDescent="0.3">
      <c r="A26" s="1098" t="s">
        <v>1111</v>
      </c>
      <c r="B26" s="1283">
        <f>('General Real Data (Obs.)'!$E$228/12)*('General Real Data (Obs.)'!$E229/SUM('General Real Data (Obs.)'!$E$229:$E$231))*((INDEX('Partners Real Data'!$B$2:$B$27,'Factura Socios Con CE (2)'!B$2))/'Partners Real Data'!$B$27)</f>
        <v>277.3809878012496</v>
      </c>
      <c r="C26" s="1387">
        <f>('General Real Data (Obs.)'!$E$228/12)*('General Real Data (Obs.)'!$E229/SUM('General Real Data (Obs.)'!$E$229:$E$231))*((INDEX('Partners Real Data'!$B$2:$B$27,'Factura Socios Con CE (2)'!C$2))/'Partners Real Data'!$B$27)</f>
        <v>162.77447188336805</v>
      </c>
      <c r="D26" s="1387">
        <f>('General Real Data (Obs.)'!$E$228/12)*('General Real Data (Obs.)'!$E229/SUM('General Real Data (Obs.)'!$E$229:$E$231))*((INDEX('Partners Real Data'!$B$2:$B$27,'Factura Socios Con CE (2)'!D$2))/'Partners Real Data'!$B$27)</f>
        <v>69.760487950014877</v>
      </c>
      <c r="E26" s="1387">
        <f>('General Real Data (Obs.)'!$E$228/12)*('General Real Data (Obs.)'!$E229/SUM('General Real Data (Obs.)'!$E$229:$E$231))*((INDEX('Partners Real Data'!$B$2:$B$27,'Factura Socios Con CE (2)'!E$2))/'Partners Real Data'!$B$27)</f>
        <v>289.00773579291877</v>
      </c>
      <c r="F26" s="1387">
        <f>('General Real Data (Obs.)'!$E$228/12)*('General Real Data (Obs.)'!$E229/SUM('General Real Data (Obs.)'!$E$229:$E$231))*((INDEX('Partners Real Data'!$B$2:$B$27,'Factura Socios Con CE (2)'!F$2))/'Partners Real Data'!$B$27)</f>
        <v>60.348358623425561</v>
      </c>
      <c r="G26" s="1387">
        <f>('General Real Data (Obs.)'!$E$228/12)*('General Real Data (Obs.)'!$E229/SUM('General Real Data (Obs.)'!$E$229:$E$231))*((INDEX('Partners Real Data'!$B$2:$B$27,'Factura Socios Con CE (2)'!G$2))/'Partners Real Data'!$B$27)</f>
        <v>147.27214122780916</v>
      </c>
      <c r="H26" s="1387">
        <f>('General Real Data (Obs.)'!$E$228/12)*('General Real Data (Obs.)'!$E229/SUM('General Real Data (Obs.)'!$E$229:$E$231))*((INDEX('Partners Real Data'!$B$2:$B$27,'Factura Socios Con CE (2)'!H$2))/'Partners Real Data'!$B$27)</f>
        <v>255.23480115045123</v>
      </c>
      <c r="I26" s="1387">
        <f>('General Real Data (Obs.)'!$E$228/12)*('General Real Data (Obs.)'!$E229/SUM('General Real Data (Obs.)'!$E$229:$E$231))*((INDEX('Partners Real Data'!$B$2:$B$27,'Factura Socios Con CE (2)'!I$2))/'Partners Real Data'!$B$27)</f>
        <v>107.96265992264206</v>
      </c>
      <c r="J26" s="1387">
        <f>('General Real Data (Obs.)'!$E$228/12)*('General Real Data (Obs.)'!$E229/SUM('General Real Data (Obs.)'!$E$229:$E$231))*((INDEX('Partners Real Data'!$B$2:$B$27,'Factura Socios Con CE (2)'!J$2))/'Partners Real Data'!$B$27)</f>
        <v>78.618962610334222</v>
      </c>
      <c r="K26" s="1387">
        <f>('General Real Data (Obs.)'!$E$228/12)*('General Real Data (Obs.)'!$E229/SUM('General Real Data (Obs.)'!$E$229:$E$231))*((INDEX('Partners Real Data'!$B$2:$B$27,'Factura Socios Con CE (2)'!K$2))/'Partners Real Data'!$B$27)</f>
        <v>77.511653277794309</v>
      </c>
      <c r="L26" s="1387">
        <f>('General Real Data (Obs.)'!$E$228/12)*('General Real Data (Obs.)'!$E229/SUM('General Real Data (Obs.)'!$E$229:$E$231))*((INDEX('Partners Real Data'!$B$2:$B$27,'Factura Socios Con CE (2)'!L$2))/'Partners Real Data'!$B$27)</f>
        <v>146.16483189526926</v>
      </c>
      <c r="M26" s="1387">
        <f>('General Real Data (Obs.)'!$E$228/12)*('General Real Data (Obs.)'!$E229/SUM('General Real Data (Obs.)'!$E$229:$E$231))*((INDEX('Partners Real Data'!$B$2:$B$27,'Factura Socios Con CE (2)'!M$2))/'Partners Real Data'!$B$27)</f>
        <v>231.98130516711296</v>
      </c>
      <c r="N26" s="1387">
        <f>('General Real Data (Obs.)'!$E$228/12)*('General Real Data (Obs.)'!$E229/SUM('General Real Data (Obs.)'!$E$229:$E$231))*((INDEX('Partners Real Data'!$B$2:$B$27,'Factura Socios Con CE (2)'!N$2))/'Partners Real Data'!$B$27)</f>
        <v>245.82267182386192</v>
      </c>
      <c r="O26" s="1387">
        <f>('General Real Data (Obs.)'!$E$228/12)*('General Real Data (Obs.)'!$E229/SUM('General Real Data (Obs.)'!$E$229:$E$231))*((INDEX('Partners Real Data'!$B$2:$B$27,'Factura Socios Con CE (2)'!O$2))/'Partners Real Data'!$B$27)</f>
        <v>65.884905286125161</v>
      </c>
      <c r="P26" s="1387">
        <f>('General Real Data (Obs.)'!$E$228/12)*('General Real Data (Obs.)'!$E229/SUM('General Real Data (Obs.)'!$E$229:$E$231))*((INDEX('Partners Real Data'!$B$2:$B$27,'Factura Socios Con CE (2)'!P$2))/'Partners Real Data'!$B$27)</f>
        <v>237.51785182981257</v>
      </c>
      <c r="Q26" s="1387">
        <f>('General Real Data (Obs.)'!$E$228/12)*('General Real Data (Obs.)'!$E229/SUM('General Real Data (Obs.)'!$E$229:$E$231))*((INDEX('Partners Real Data'!$B$2:$B$27,'Factura Socios Con CE (2)'!Q$2))/'Partners Real Data'!$B$27)</f>
        <v>48.72161063175642</v>
      </c>
      <c r="R26" s="1387">
        <f>('General Real Data (Obs.)'!$E$228/12)*('General Real Data (Obs.)'!$E229/SUM('General Real Data (Obs.)'!$E$229:$E$231))*((INDEX('Partners Real Data'!$B$2:$B$27,'Factura Socios Con CE (2)'!R$2))/'Partners Real Data'!$B$27)</f>
        <v>195.44009719329563</v>
      </c>
      <c r="S26" s="1387">
        <f>('General Real Data (Obs.)'!$E$228/12)*('General Real Data (Obs.)'!$E229/SUM('General Real Data (Obs.)'!$E$229:$E$231))*((INDEX('Partners Real Data'!$B$2:$B$27,'Factura Socios Con CE (2)'!S$2))/'Partners Real Data'!$B$27)</f>
        <v>104.64073192502232</v>
      </c>
      <c r="T26" s="1387">
        <f>('General Real Data (Obs.)'!$E$228/12)*('General Real Data (Obs.)'!$E229/SUM('General Real Data (Obs.)'!$E$229:$E$231))*((INDEX('Partners Real Data'!$B$2:$B$27,'Factura Socios Con CE (2)'!T$2))/'Partners Real Data'!$B$27)</f>
        <v>135.64539323614002</v>
      </c>
      <c r="U26" s="1387">
        <f>('General Real Data (Obs.)'!$E$228/12)*('General Real Data (Obs.)'!$E229/SUM('General Real Data (Obs.)'!$E$229:$E$231))*((INDEX('Partners Real Data'!$B$2:$B$27,'Factura Socios Con CE (2)'!U$2))/'Partners Real Data'!$B$27)</f>
        <v>234.74957849846277</v>
      </c>
      <c r="V26" s="1387">
        <f>('General Real Data (Obs.)'!$E$228/12)*('General Real Data (Obs.)'!$E229/SUM('General Real Data (Obs.)'!$E$229:$E$231))*((INDEX('Partners Real Data'!$B$2:$B$27,'Factura Socios Con CE (2)'!V$2))/'Partners Real Data'!$B$27)</f>
        <v>108.51631458891202</v>
      </c>
      <c r="W26" s="1387">
        <f>('General Real Data (Obs.)'!$E$228/12)*('General Real Data (Obs.)'!$E229/SUM('General Real Data (Obs.)'!$E$229:$E$231))*((INDEX('Partners Real Data'!$B$2:$B$27,'Factura Socios Con CE (2)'!W$2))/'Partners Real Data'!$B$27)</f>
        <v>105.74804125756224</v>
      </c>
      <c r="X26" s="1387">
        <f>('General Real Data (Obs.)'!$E$228/12)*('General Real Data (Obs.)'!$E229/SUM('General Real Data (Obs.)'!$E$229:$E$231))*((INDEX('Partners Real Data'!$B$2:$B$27,'Factura Socios Con CE (2)'!X$2))/'Partners Real Data'!$B$27)</f>
        <v>101.8724585936725</v>
      </c>
      <c r="Y26" s="1387">
        <f>('General Real Data (Obs.)'!$E$228/12)*('General Real Data (Obs.)'!$E229/SUM('General Real Data (Obs.)'!$E$229:$E$231))*((INDEX('Partners Real Data'!$B$2:$B$27,'Factura Socios Con CE (2)'!Y$2))/'Partners Real Data'!$B$27)</f>
        <v>60.902013289695532</v>
      </c>
      <c r="Z26" s="1387">
        <f>('General Real Data (Obs.)'!$E$228/12)*('General Real Data (Obs.)'!$E229/SUM('General Real Data (Obs.)'!$E$229:$E$231))*((INDEX('Partners Real Data'!$B$2:$B$27,'Factura Socios Con CE (2)'!Z$2))/'Partners Real Data'!$B$27)</f>
        <v>172.18660120995733</v>
      </c>
      <c r="AA26" s="1386">
        <f>SUM(B26:Z26)</f>
        <v>3721.6666666666661</v>
      </c>
    </row>
    <row r="27" spans="1:27" x14ac:dyDescent="0.3">
      <c r="A27" s="1098" t="s">
        <v>1110</v>
      </c>
      <c r="B27" s="1833">
        <f>('General Real Data (Obs.)'!$E$228/12)*('General Real Data (Obs.)'!$E230/SUM('General Real Data (Obs.)'!$E$229:$E$231))*((INDEX('Partners Real Data'!$B$2:$B$27,'Factura Socios Con CE (2)'!B$2))/'Partners Real Data'!$B$27)</f>
        <v>277.3809878012496</v>
      </c>
      <c r="C27" s="1385">
        <f>('General Real Data (Obs.)'!$E$228/12)*('General Real Data (Obs.)'!$E230/SUM('General Real Data (Obs.)'!$E$229:$E$231))*((INDEX('Partners Real Data'!$B$2:$B$27,'Factura Socios Con CE (2)'!C$2))/'Partners Real Data'!$B$27)</f>
        <v>162.77447188336805</v>
      </c>
      <c r="D27" s="1385">
        <f>('General Real Data (Obs.)'!$E$228/12)*('General Real Data (Obs.)'!$E230/SUM('General Real Data (Obs.)'!$E$229:$E$231))*((INDEX('Partners Real Data'!$B$2:$B$27,'Factura Socios Con CE (2)'!D$2))/'Partners Real Data'!$B$27)</f>
        <v>69.760487950014877</v>
      </c>
      <c r="E27" s="1385">
        <f>('General Real Data (Obs.)'!$E$228/12)*('General Real Data (Obs.)'!$E230/SUM('General Real Data (Obs.)'!$E$229:$E$231))*((INDEX('Partners Real Data'!$B$2:$B$27,'Factura Socios Con CE (2)'!E$2))/'Partners Real Data'!$B$27)</f>
        <v>289.00773579291877</v>
      </c>
      <c r="F27" s="1385">
        <f>('General Real Data (Obs.)'!$E$228/12)*('General Real Data (Obs.)'!$E230/SUM('General Real Data (Obs.)'!$E$229:$E$231))*((INDEX('Partners Real Data'!$B$2:$B$27,'Factura Socios Con CE (2)'!F$2))/'Partners Real Data'!$B$27)</f>
        <v>60.348358623425561</v>
      </c>
      <c r="G27" s="1385">
        <f>('General Real Data (Obs.)'!$E$228/12)*('General Real Data (Obs.)'!$E230/SUM('General Real Data (Obs.)'!$E$229:$E$231))*((INDEX('Partners Real Data'!$B$2:$B$27,'Factura Socios Con CE (2)'!G$2))/'Partners Real Data'!$B$27)</f>
        <v>147.27214122780916</v>
      </c>
      <c r="H27" s="1385">
        <f>('General Real Data (Obs.)'!$E$228/12)*('General Real Data (Obs.)'!$E230/SUM('General Real Data (Obs.)'!$E$229:$E$231))*((INDEX('Partners Real Data'!$B$2:$B$27,'Factura Socios Con CE (2)'!H$2))/'Partners Real Data'!$B$27)</f>
        <v>255.23480115045123</v>
      </c>
      <c r="I27" s="1385">
        <f>('General Real Data (Obs.)'!$E$228/12)*('General Real Data (Obs.)'!$E230/SUM('General Real Data (Obs.)'!$E$229:$E$231))*((INDEX('Partners Real Data'!$B$2:$B$27,'Factura Socios Con CE (2)'!I$2))/'Partners Real Data'!$B$27)</f>
        <v>107.96265992264206</v>
      </c>
      <c r="J27" s="1385">
        <f>('General Real Data (Obs.)'!$E$228/12)*('General Real Data (Obs.)'!$E230/SUM('General Real Data (Obs.)'!$E$229:$E$231))*((INDEX('Partners Real Data'!$B$2:$B$27,'Factura Socios Con CE (2)'!J$2))/'Partners Real Data'!$B$27)</f>
        <v>78.618962610334222</v>
      </c>
      <c r="K27" s="1385">
        <f>('General Real Data (Obs.)'!$E$228/12)*('General Real Data (Obs.)'!$E230/SUM('General Real Data (Obs.)'!$E$229:$E$231))*((INDEX('Partners Real Data'!$B$2:$B$27,'Factura Socios Con CE (2)'!K$2))/'Partners Real Data'!$B$27)</f>
        <v>77.511653277794309</v>
      </c>
      <c r="L27" s="1385">
        <f>('General Real Data (Obs.)'!$E$228/12)*('General Real Data (Obs.)'!$E230/SUM('General Real Data (Obs.)'!$E$229:$E$231))*((INDEX('Partners Real Data'!$B$2:$B$27,'Factura Socios Con CE (2)'!L$2))/'Partners Real Data'!$B$27)</f>
        <v>146.16483189526926</v>
      </c>
      <c r="M27" s="1385">
        <f>('General Real Data (Obs.)'!$E$228/12)*('General Real Data (Obs.)'!$E230/SUM('General Real Data (Obs.)'!$E$229:$E$231))*((INDEX('Partners Real Data'!$B$2:$B$27,'Factura Socios Con CE (2)'!M$2))/'Partners Real Data'!$B$27)</f>
        <v>231.98130516711296</v>
      </c>
      <c r="N27" s="1385">
        <f>('General Real Data (Obs.)'!$E$228/12)*('General Real Data (Obs.)'!$E230/SUM('General Real Data (Obs.)'!$E$229:$E$231))*((INDEX('Partners Real Data'!$B$2:$B$27,'Factura Socios Con CE (2)'!N$2))/'Partners Real Data'!$B$27)</f>
        <v>245.82267182386192</v>
      </c>
      <c r="O27" s="1385">
        <f>('General Real Data (Obs.)'!$E$228/12)*('General Real Data (Obs.)'!$E230/SUM('General Real Data (Obs.)'!$E$229:$E$231))*((INDEX('Partners Real Data'!$B$2:$B$27,'Factura Socios Con CE (2)'!O$2))/'Partners Real Data'!$B$27)</f>
        <v>65.884905286125161</v>
      </c>
      <c r="P27" s="1385">
        <f>('General Real Data (Obs.)'!$E$228/12)*('General Real Data (Obs.)'!$E230/SUM('General Real Data (Obs.)'!$E$229:$E$231))*((INDEX('Partners Real Data'!$B$2:$B$27,'Factura Socios Con CE (2)'!P$2))/'Partners Real Data'!$B$27)</f>
        <v>237.51785182981257</v>
      </c>
      <c r="Q27" s="1385">
        <f>('General Real Data (Obs.)'!$E$228/12)*('General Real Data (Obs.)'!$E230/SUM('General Real Data (Obs.)'!$E$229:$E$231))*((INDEX('Partners Real Data'!$B$2:$B$27,'Factura Socios Con CE (2)'!Q$2))/'Partners Real Data'!$B$27)</f>
        <v>48.72161063175642</v>
      </c>
      <c r="R27" s="1385">
        <f>('General Real Data (Obs.)'!$E$228/12)*('General Real Data (Obs.)'!$E230/SUM('General Real Data (Obs.)'!$E$229:$E$231))*((INDEX('Partners Real Data'!$B$2:$B$27,'Factura Socios Con CE (2)'!R$2))/'Partners Real Data'!$B$27)</f>
        <v>195.44009719329563</v>
      </c>
      <c r="S27" s="1385">
        <f>('General Real Data (Obs.)'!$E$228/12)*('General Real Data (Obs.)'!$E230/SUM('General Real Data (Obs.)'!$E$229:$E$231))*((INDEX('Partners Real Data'!$B$2:$B$27,'Factura Socios Con CE (2)'!S$2))/'Partners Real Data'!$B$27)</f>
        <v>104.64073192502232</v>
      </c>
      <c r="T27" s="1385">
        <f>('General Real Data (Obs.)'!$E$228/12)*('General Real Data (Obs.)'!$E230/SUM('General Real Data (Obs.)'!$E$229:$E$231))*((INDEX('Partners Real Data'!$B$2:$B$27,'Factura Socios Con CE (2)'!T$2))/'Partners Real Data'!$B$27)</f>
        <v>135.64539323614002</v>
      </c>
      <c r="U27" s="1385">
        <f>('General Real Data (Obs.)'!$E$228/12)*('General Real Data (Obs.)'!$E230/SUM('General Real Data (Obs.)'!$E$229:$E$231))*((INDEX('Partners Real Data'!$B$2:$B$27,'Factura Socios Con CE (2)'!U$2))/'Partners Real Data'!$B$27)</f>
        <v>234.74957849846277</v>
      </c>
      <c r="V27" s="1385">
        <f>('General Real Data (Obs.)'!$E$228/12)*('General Real Data (Obs.)'!$E230/SUM('General Real Data (Obs.)'!$E$229:$E$231))*((INDEX('Partners Real Data'!$B$2:$B$27,'Factura Socios Con CE (2)'!V$2))/'Partners Real Data'!$B$27)</f>
        <v>108.51631458891202</v>
      </c>
      <c r="W27" s="1385">
        <f>('General Real Data (Obs.)'!$E$228/12)*('General Real Data (Obs.)'!$E230/SUM('General Real Data (Obs.)'!$E$229:$E$231))*((INDEX('Partners Real Data'!$B$2:$B$27,'Factura Socios Con CE (2)'!W$2))/'Partners Real Data'!$B$27)</f>
        <v>105.74804125756224</v>
      </c>
      <c r="X27" s="1385">
        <f>('General Real Data (Obs.)'!$E$228/12)*('General Real Data (Obs.)'!$E230/SUM('General Real Data (Obs.)'!$E$229:$E$231))*((INDEX('Partners Real Data'!$B$2:$B$27,'Factura Socios Con CE (2)'!X$2))/'Partners Real Data'!$B$27)</f>
        <v>101.8724585936725</v>
      </c>
      <c r="Y27" s="1385">
        <f>('General Real Data (Obs.)'!$E$228/12)*('General Real Data (Obs.)'!$E230/SUM('General Real Data (Obs.)'!$E$229:$E$231))*((INDEX('Partners Real Data'!$B$2:$B$27,'Factura Socios Con CE (2)'!Y$2))/'Partners Real Data'!$B$27)</f>
        <v>60.902013289695532</v>
      </c>
      <c r="Z27" s="1385">
        <f>('General Real Data (Obs.)'!$E$228/12)*('General Real Data (Obs.)'!$E230/SUM('General Real Data (Obs.)'!$E$229:$E$231))*((INDEX('Partners Real Data'!$B$2:$B$27,'Factura Socios Con CE (2)'!Z$2))/'Partners Real Data'!$B$27)</f>
        <v>172.18660120995733</v>
      </c>
      <c r="AA27" s="1377">
        <f>SUM(B27:Z27)</f>
        <v>3721.6666666666661</v>
      </c>
    </row>
    <row r="28" spans="1:27" x14ac:dyDescent="0.3">
      <c r="A28" s="1098" t="s">
        <v>1109</v>
      </c>
      <c r="B28" s="1384">
        <f>('General Real Data (Obs.)'!$E$228/12)*('General Real Data (Obs.)'!$E231/SUM('General Real Data (Obs.)'!$E$229:$E$231))*((INDEX('Partners Real Data'!$B$2:$B$27,'Factura Socios Con CE (2)'!B$2))/'Partners Real Data'!$B$27)</f>
        <v>0</v>
      </c>
      <c r="C28" s="1383">
        <f>('General Real Data (Obs.)'!$E$228/12)*('General Real Data (Obs.)'!$E231/SUM('General Real Data (Obs.)'!$E$229:$E$231))*((INDEX('Partners Real Data'!$B$2:$B$27,'Factura Socios Con CE (2)'!C$2))/'Partners Real Data'!$B$27)</f>
        <v>0</v>
      </c>
      <c r="D28" s="1383">
        <f>('General Real Data (Obs.)'!$E$228/12)*('General Real Data (Obs.)'!$E231/SUM('General Real Data (Obs.)'!$E$229:$E$231))*((INDEX('Partners Real Data'!$B$2:$B$27,'Factura Socios Con CE (2)'!D$2))/'Partners Real Data'!$B$27)</f>
        <v>0</v>
      </c>
      <c r="E28" s="1383">
        <f>('General Real Data (Obs.)'!$E$228/12)*('General Real Data (Obs.)'!$E231/SUM('General Real Data (Obs.)'!$E$229:$E$231))*((INDEX('Partners Real Data'!$B$2:$B$27,'Factura Socios Con CE (2)'!E$2))/'Partners Real Data'!$B$27)</f>
        <v>0</v>
      </c>
      <c r="F28" s="1383">
        <f>('General Real Data (Obs.)'!$E$228/12)*('General Real Data (Obs.)'!$E231/SUM('General Real Data (Obs.)'!$E$229:$E$231))*((INDEX('Partners Real Data'!$B$2:$B$27,'Factura Socios Con CE (2)'!F$2))/'Partners Real Data'!$B$27)</f>
        <v>0</v>
      </c>
      <c r="G28" s="1383">
        <f>('General Real Data (Obs.)'!$E$228/12)*('General Real Data (Obs.)'!$E231/SUM('General Real Data (Obs.)'!$E$229:$E$231))*((INDEX('Partners Real Data'!$B$2:$B$27,'Factura Socios Con CE (2)'!G$2))/'Partners Real Data'!$B$27)</f>
        <v>0</v>
      </c>
      <c r="H28" s="1383">
        <f>('General Real Data (Obs.)'!$E$228/12)*('General Real Data (Obs.)'!$E231/SUM('General Real Data (Obs.)'!$E$229:$E$231))*((INDEX('Partners Real Data'!$B$2:$B$27,'Factura Socios Con CE (2)'!H$2))/'Partners Real Data'!$B$27)</f>
        <v>0</v>
      </c>
      <c r="I28" s="1383">
        <f>('General Real Data (Obs.)'!$E$228/12)*('General Real Data (Obs.)'!$E231/SUM('General Real Data (Obs.)'!$E$229:$E$231))*((INDEX('Partners Real Data'!$B$2:$B$27,'Factura Socios Con CE (2)'!I$2))/'Partners Real Data'!$B$27)</f>
        <v>0</v>
      </c>
      <c r="J28" s="1383">
        <f>('General Real Data (Obs.)'!$E$228/12)*('General Real Data (Obs.)'!$E231/SUM('General Real Data (Obs.)'!$E$229:$E$231))*((INDEX('Partners Real Data'!$B$2:$B$27,'Factura Socios Con CE (2)'!J$2))/'Partners Real Data'!$B$27)</f>
        <v>0</v>
      </c>
      <c r="K28" s="1383">
        <f>('General Real Data (Obs.)'!$E$228/12)*('General Real Data (Obs.)'!$E231/SUM('General Real Data (Obs.)'!$E$229:$E$231))*((INDEX('Partners Real Data'!$B$2:$B$27,'Factura Socios Con CE (2)'!K$2))/'Partners Real Data'!$B$27)</f>
        <v>0</v>
      </c>
      <c r="L28" s="1383">
        <f>('General Real Data (Obs.)'!$E$228/12)*('General Real Data (Obs.)'!$E231/SUM('General Real Data (Obs.)'!$E$229:$E$231))*((INDEX('Partners Real Data'!$B$2:$B$27,'Factura Socios Con CE (2)'!L$2))/'Partners Real Data'!$B$27)</f>
        <v>0</v>
      </c>
      <c r="M28" s="1383">
        <f>('General Real Data (Obs.)'!$E$228/12)*('General Real Data (Obs.)'!$E231/SUM('General Real Data (Obs.)'!$E$229:$E$231))*((INDEX('Partners Real Data'!$B$2:$B$27,'Factura Socios Con CE (2)'!M$2))/'Partners Real Data'!$B$27)</f>
        <v>0</v>
      </c>
      <c r="N28" s="1383">
        <f>('General Real Data (Obs.)'!$E$228/12)*('General Real Data (Obs.)'!$E231/SUM('General Real Data (Obs.)'!$E$229:$E$231))*((INDEX('Partners Real Data'!$B$2:$B$27,'Factura Socios Con CE (2)'!N$2))/'Partners Real Data'!$B$27)</f>
        <v>0</v>
      </c>
      <c r="O28" s="1383">
        <f>('General Real Data (Obs.)'!$E$228/12)*('General Real Data (Obs.)'!$E231/SUM('General Real Data (Obs.)'!$E$229:$E$231))*((INDEX('Partners Real Data'!$B$2:$B$27,'Factura Socios Con CE (2)'!O$2))/'Partners Real Data'!$B$27)</f>
        <v>0</v>
      </c>
      <c r="P28" s="1383">
        <f>('General Real Data (Obs.)'!$E$228/12)*('General Real Data (Obs.)'!$E231/SUM('General Real Data (Obs.)'!$E$229:$E$231))*((INDEX('Partners Real Data'!$B$2:$B$27,'Factura Socios Con CE (2)'!P$2))/'Partners Real Data'!$B$27)</f>
        <v>0</v>
      </c>
      <c r="Q28" s="1383">
        <f>('General Real Data (Obs.)'!$E$228/12)*('General Real Data (Obs.)'!$E231/SUM('General Real Data (Obs.)'!$E$229:$E$231))*((INDEX('Partners Real Data'!$B$2:$B$27,'Factura Socios Con CE (2)'!Q$2))/'Partners Real Data'!$B$27)</f>
        <v>0</v>
      </c>
      <c r="R28" s="1383">
        <f>('General Real Data (Obs.)'!$E$228/12)*('General Real Data (Obs.)'!$E231/SUM('General Real Data (Obs.)'!$E$229:$E$231))*((INDEX('Partners Real Data'!$B$2:$B$27,'Factura Socios Con CE (2)'!R$2))/'Partners Real Data'!$B$27)</f>
        <v>0</v>
      </c>
      <c r="S28" s="1383">
        <f>('General Real Data (Obs.)'!$E$228/12)*('General Real Data (Obs.)'!$E231/SUM('General Real Data (Obs.)'!$E$229:$E$231))*((INDEX('Partners Real Data'!$B$2:$B$27,'Factura Socios Con CE (2)'!S$2))/'Partners Real Data'!$B$27)</f>
        <v>0</v>
      </c>
      <c r="T28" s="1383">
        <f>('General Real Data (Obs.)'!$E$228/12)*('General Real Data (Obs.)'!$E231/SUM('General Real Data (Obs.)'!$E$229:$E$231))*((INDEX('Partners Real Data'!$B$2:$B$27,'Factura Socios Con CE (2)'!T$2))/'Partners Real Data'!$B$27)</f>
        <v>0</v>
      </c>
      <c r="U28" s="1383">
        <f>('General Real Data (Obs.)'!$E$228/12)*('General Real Data (Obs.)'!$E231/SUM('General Real Data (Obs.)'!$E$229:$E$231))*((INDEX('Partners Real Data'!$B$2:$B$27,'Factura Socios Con CE (2)'!U$2))/'Partners Real Data'!$B$27)</f>
        <v>0</v>
      </c>
      <c r="V28" s="1383">
        <f>('General Real Data (Obs.)'!$E$228/12)*('General Real Data (Obs.)'!$E231/SUM('General Real Data (Obs.)'!$E$229:$E$231))*((INDEX('Partners Real Data'!$B$2:$B$27,'Factura Socios Con CE (2)'!V$2))/'Partners Real Data'!$B$27)</f>
        <v>0</v>
      </c>
      <c r="W28" s="1383">
        <f>('General Real Data (Obs.)'!$E$228/12)*('General Real Data (Obs.)'!$E231/SUM('General Real Data (Obs.)'!$E$229:$E$231))*((INDEX('Partners Real Data'!$B$2:$B$27,'Factura Socios Con CE (2)'!W$2))/'Partners Real Data'!$B$27)</f>
        <v>0</v>
      </c>
      <c r="X28" s="1383">
        <f>('General Real Data (Obs.)'!$E$228/12)*('General Real Data (Obs.)'!$E231/SUM('General Real Data (Obs.)'!$E$229:$E$231))*((INDEX('Partners Real Data'!$B$2:$B$27,'Factura Socios Con CE (2)'!X$2))/'Partners Real Data'!$B$27)</f>
        <v>0</v>
      </c>
      <c r="Y28" s="1383">
        <f>('General Real Data (Obs.)'!$E$228/12)*('General Real Data (Obs.)'!$E231/SUM('General Real Data (Obs.)'!$E$229:$E$231))*((INDEX('Partners Real Data'!$B$2:$B$27,'Factura Socios Con CE (2)'!Y$2))/'Partners Real Data'!$B$27)</f>
        <v>0</v>
      </c>
      <c r="Z28" s="1383">
        <f>('General Real Data (Obs.)'!$E$228/12)*('General Real Data (Obs.)'!$E231/SUM('General Real Data (Obs.)'!$E$229:$E$231))*((INDEX('Partners Real Data'!$B$2:$B$27,'Factura Socios Con CE (2)'!Z$2))/'Partners Real Data'!$B$27)</f>
        <v>0</v>
      </c>
      <c r="AA28" s="1375">
        <f>SUM(B28:Z28)</f>
        <v>0</v>
      </c>
    </row>
    <row r="29" spans="1:27" x14ac:dyDescent="0.3">
      <c r="A29" s="1098" t="s">
        <v>1178</v>
      </c>
      <c r="B29" s="1265">
        <f>SUM(B26:B28)</f>
        <v>554.76197560249921</v>
      </c>
      <c r="C29" s="1262">
        <f t="shared" ref="C29:Z29" si="4">SUM(C26:C28)</f>
        <v>325.5489437667361</v>
      </c>
      <c r="D29" s="1262">
        <f t="shared" si="4"/>
        <v>139.52097590002975</v>
      </c>
      <c r="E29" s="1262">
        <f t="shared" si="4"/>
        <v>578.01547158583753</v>
      </c>
      <c r="F29" s="1262">
        <f t="shared" si="4"/>
        <v>120.69671724685112</v>
      </c>
      <c r="G29" s="1262">
        <f t="shared" si="4"/>
        <v>294.54428245561832</v>
      </c>
      <c r="H29" s="1262">
        <f t="shared" si="4"/>
        <v>510.46960230090247</v>
      </c>
      <c r="I29" s="1262">
        <f t="shared" si="4"/>
        <v>215.92531984528412</v>
      </c>
      <c r="J29" s="1262">
        <f t="shared" si="4"/>
        <v>157.23792522066844</v>
      </c>
      <c r="K29" s="1262">
        <f t="shared" si="4"/>
        <v>155.02330655558862</v>
      </c>
      <c r="L29" s="1262">
        <f t="shared" si="4"/>
        <v>292.32966379053852</v>
      </c>
      <c r="M29" s="1262">
        <f t="shared" si="4"/>
        <v>463.96261033422593</v>
      </c>
      <c r="N29" s="1262">
        <f t="shared" si="4"/>
        <v>491.64534364772385</v>
      </c>
      <c r="O29" s="1262">
        <f t="shared" si="4"/>
        <v>131.76981057225032</v>
      </c>
      <c r="P29" s="1262">
        <f t="shared" si="4"/>
        <v>475.03570365962514</v>
      </c>
      <c r="Q29" s="1262">
        <f t="shared" si="4"/>
        <v>97.443221263512839</v>
      </c>
      <c r="R29" s="1262">
        <f t="shared" si="4"/>
        <v>390.88019438659126</v>
      </c>
      <c r="S29" s="1262">
        <f t="shared" si="4"/>
        <v>209.28146385004464</v>
      </c>
      <c r="T29" s="1262">
        <f t="shared" si="4"/>
        <v>271.29078647228005</v>
      </c>
      <c r="U29" s="1262">
        <f t="shared" si="4"/>
        <v>469.49915699692554</v>
      </c>
      <c r="V29" s="1262">
        <f t="shared" si="4"/>
        <v>217.03262917782405</v>
      </c>
      <c r="W29" s="1262">
        <f t="shared" si="4"/>
        <v>211.49608251512447</v>
      </c>
      <c r="X29" s="1262">
        <f t="shared" si="4"/>
        <v>203.74491718734501</v>
      </c>
      <c r="Y29" s="1262">
        <f t="shared" si="4"/>
        <v>121.80402657939106</v>
      </c>
      <c r="Z29" s="1281">
        <f t="shared" si="4"/>
        <v>344.37320241991466</v>
      </c>
      <c r="AA29" s="1367">
        <f>SUM(B29:Z29)</f>
        <v>7443.3333333333321</v>
      </c>
    </row>
    <row r="30" spans="1:27" ht="15" thickBot="1" x14ac:dyDescent="0.35"/>
    <row r="31" spans="1:27" ht="15" thickBot="1" x14ac:dyDescent="0.35">
      <c r="A31" s="633" t="s">
        <v>1104</v>
      </c>
      <c r="B31" s="1382">
        <f>(INDEX('Partners Real Data'!$B$2:$B$27,'Factura Socios Con CE (2)'!B2))</f>
        <v>501</v>
      </c>
      <c r="C31" s="1381">
        <f>(INDEX('Partners Real Data'!$B$2:$B$27,'Factura Socios Con CE (2)'!C2))</f>
        <v>294</v>
      </c>
      <c r="D31" s="1381">
        <f>(INDEX('Partners Real Data'!$B$2:$B$27,'Factura Socios Con CE (2)'!D2))</f>
        <v>126</v>
      </c>
      <c r="E31" s="1381">
        <f>(INDEX('Partners Real Data'!$B$2:$B$27,'Factura Socios Con CE (2)'!E2))</f>
        <v>522</v>
      </c>
      <c r="F31" s="1381">
        <f>(INDEX('Partners Real Data'!$B$2:$B$27,'Factura Socios Con CE (2)'!F2))</f>
        <v>109</v>
      </c>
      <c r="G31" s="1381">
        <f>(INDEX('Partners Real Data'!$B$2:$B$27,'Factura Socios Con CE (2)'!G2))</f>
        <v>266</v>
      </c>
      <c r="H31" s="1381">
        <f>(INDEX('Partners Real Data'!$B$2:$B$27,'Factura Socios Con CE (2)'!H2))</f>
        <v>461</v>
      </c>
      <c r="I31" s="1381">
        <f>(INDEX('Partners Real Data'!$B$2:$B$27,'Factura Socios Con CE (2)'!I2))</f>
        <v>195</v>
      </c>
      <c r="J31" s="1381">
        <f>(INDEX('Partners Real Data'!$B$2:$B$27,'Factura Socios Con CE (2)'!J2))</f>
        <v>142</v>
      </c>
      <c r="K31" s="1381">
        <f>(INDEX('Partners Real Data'!$B$2:$B$27,'Factura Socios Con CE (2)'!K2))</f>
        <v>140</v>
      </c>
      <c r="L31" s="1381">
        <f>(INDEX('Partners Real Data'!$B$2:$B$27,'Factura Socios Con CE (2)'!L2))</f>
        <v>264</v>
      </c>
      <c r="M31" s="1381">
        <f>(INDEX('Partners Real Data'!$B$2:$B$27,'Factura Socios Con CE (2)'!M2))</f>
        <v>419</v>
      </c>
      <c r="N31" s="1381">
        <f>(INDEX('Partners Real Data'!$B$2:$B$27,'Factura Socios Con CE (2)'!N2))</f>
        <v>444</v>
      </c>
      <c r="O31" s="1381">
        <f>(INDEX('Partners Real Data'!$B$2:$B$27,'Factura Socios Con CE (2)'!O2))</f>
        <v>119</v>
      </c>
      <c r="P31" s="1381">
        <f>(INDEX('Partners Real Data'!$B$2:$B$27,'Factura Socios Con CE (2)'!P2))</f>
        <v>429</v>
      </c>
      <c r="Q31" s="1381">
        <f>(INDEX('Partners Real Data'!$B$2:$B$27,'Factura Socios Con CE (2)'!Q2))</f>
        <v>88</v>
      </c>
      <c r="R31" s="1381">
        <f>(INDEX('Partners Real Data'!$B$2:$B$27,'Factura Socios Con CE (2)'!R2))</f>
        <v>353</v>
      </c>
      <c r="S31" s="1381">
        <f>(INDEX('Partners Real Data'!$B$2:$B$27,'Factura Socios Con CE (2)'!S2))</f>
        <v>189</v>
      </c>
      <c r="T31" s="1381">
        <f>(INDEX('Partners Real Data'!$B$2:$B$27,'Factura Socios Con CE (2)'!T2))</f>
        <v>245</v>
      </c>
      <c r="U31" s="1381">
        <f>(INDEX('Partners Real Data'!$B$2:$B$27,'Factura Socios Con CE (2)'!U2))</f>
        <v>424</v>
      </c>
      <c r="V31" s="1381">
        <f>(INDEX('Partners Real Data'!$B$2:$B$27,'Factura Socios Con CE (2)'!V2))</f>
        <v>196</v>
      </c>
      <c r="W31" s="1381">
        <f>(INDEX('Partners Real Data'!$B$2:$B$27,'Factura Socios Con CE (2)'!W2))</f>
        <v>191</v>
      </c>
      <c r="X31" s="1381">
        <f>(INDEX('Partners Real Data'!$B$2:$B$27,'Factura Socios Con CE (2)'!X2))</f>
        <v>184</v>
      </c>
      <c r="Y31" s="1381">
        <f>(INDEX('Partners Real Data'!$B$2:$B$27,'Factura Socios Con CE (2)'!Y2))</f>
        <v>110</v>
      </c>
      <c r="Z31" s="1380">
        <f>(INDEX('Partners Real Data'!$B$2:$B$27,'Factura Socios Con CE (2)'!Z2))</f>
        <v>311</v>
      </c>
      <c r="AA31" s="1379">
        <f>SUM(B31:Z31)</f>
        <v>6722</v>
      </c>
    </row>
    <row r="32" spans="1:27" x14ac:dyDescent="0.3">
      <c r="A32" t="s">
        <v>1103</v>
      </c>
      <c r="B32" s="1376">
        <f>MIN(B26,(B$35*('General Real Data (Obs.)'!$E$229/SUM('General Real Data (Obs.)'!$E$229:$E$231))))</f>
        <v>250.5</v>
      </c>
      <c r="C32" s="1174">
        <f>MIN(C26,(C$35*('General Real Data (Obs.)'!$E$229/SUM('General Real Data (Obs.)'!$E$229:$E$231))))</f>
        <v>147</v>
      </c>
      <c r="D32" s="1174">
        <f>MIN(D26,(D$35*('General Real Data (Obs.)'!$E$229/SUM('General Real Data (Obs.)'!$E$229:$E$231))))</f>
        <v>63</v>
      </c>
      <c r="E32" s="1174">
        <f>MIN(E26,(E$35*('General Real Data (Obs.)'!$E$229/SUM('General Real Data (Obs.)'!$E$229:$E$231))))</f>
        <v>261</v>
      </c>
      <c r="F32" s="1174">
        <f>MIN(F26,(F$35*('General Real Data (Obs.)'!$E$229/SUM('General Real Data (Obs.)'!$E$229:$E$231))))</f>
        <v>54.5</v>
      </c>
      <c r="G32" s="1174">
        <f>MIN(G26,(G$35*('General Real Data (Obs.)'!$E$229/SUM('General Real Data (Obs.)'!$E$229:$E$231))))</f>
        <v>133</v>
      </c>
      <c r="H32" s="1174">
        <f>MIN(H26,(H$35*('General Real Data (Obs.)'!$E$229/SUM('General Real Data (Obs.)'!$E$229:$E$231))))</f>
        <v>230.5</v>
      </c>
      <c r="I32" s="1174">
        <f>MIN(I26,(I$35*('General Real Data (Obs.)'!$E$229/SUM('General Real Data (Obs.)'!$E$229:$E$231))))</f>
        <v>97.5</v>
      </c>
      <c r="J32" s="1174">
        <f>MIN(J26,(J$35*('General Real Data (Obs.)'!$E$229/SUM('General Real Data (Obs.)'!$E$229:$E$231))))</f>
        <v>71</v>
      </c>
      <c r="K32" s="1174">
        <f>MIN(K26,(K$35*('General Real Data (Obs.)'!$E$229/SUM('General Real Data (Obs.)'!$E$229:$E$231))))</f>
        <v>70</v>
      </c>
      <c r="L32" s="1174">
        <f>MIN(L26,(L$35*('General Real Data (Obs.)'!$E$229/SUM('General Real Data (Obs.)'!$E$229:$E$231))))</f>
        <v>132</v>
      </c>
      <c r="M32" s="1174">
        <f>MIN(M26,(M$35*('General Real Data (Obs.)'!$E$229/SUM('General Real Data (Obs.)'!$E$229:$E$231))))</f>
        <v>209.5</v>
      </c>
      <c r="N32" s="1174">
        <f>MIN(N26,(N$35*('General Real Data (Obs.)'!$E$229/SUM('General Real Data (Obs.)'!$E$229:$E$231))))</f>
        <v>222</v>
      </c>
      <c r="O32" s="1174">
        <f>MIN(O26,(O$35*('General Real Data (Obs.)'!$E$229/SUM('General Real Data (Obs.)'!$E$229:$E$231))))</f>
        <v>59.5</v>
      </c>
      <c r="P32" s="1174">
        <f>MIN(P26,(P$35*('General Real Data (Obs.)'!$E$229/SUM('General Real Data (Obs.)'!$E$229:$E$231))))</f>
        <v>214.5</v>
      </c>
      <c r="Q32" s="1174">
        <f>MIN(Q26,(Q$35*('General Real Data (Obs.)'!$E$229/SUM('General Real Data (Obs.)'!$E$229:$E$231))))</f>
        <v>44</v>
      </c>
      <c r="R32" s="1174">
        <f>MIN(R26,(R$35*('General Real Data (Obs.)'!$E$229/SUM('General Real Data (Obs.)'!$E$229:$E$231))))</f>
        <v>176.5</v>
      </c>
      <c r="S32" s="1174">
        <f>MIN(S26,(S$35*('General Real Data (Obs.)'!$E$229/SUM('General Real Data (Obs.)'!$E$229:$E$231))))</f>
        <v>94.5</v>
      </c>
      <c r="T32" s="1174">
        <f>MIN(T26,(T$35*('General Real Data (Obs.)'!$E$229/SUM('General Real Data (Obs.)'!$E$229:$E$231))))</f>
        <v>122.5</v>
      </c>
      <c r="U32" s="1174">
        <f>MIN(U26,(U$35*('General Real Data (Obs.)'!$E$229/SUM('General Real Data (Obs.)'!$E$229:$E$231))))</f>
        <v>212</v>
      </c>
      <c r="V32" s="1174">
        <f>MIN(V26,(V$35*('General Real Data (Obs.)'!$E$229/SUM('General Real Data (Obs.)'!$E$229:$E$231))))</f>
        <v>98</v>
      </c>
      <c r="W32" s="1174">
        <f>MIN(W26,(W$35*('General Real Data (Obs.)'!$E$229/SUM('General Real Data (Obs.)'!$E$229:$E$231))))</f>
        <v>95.5</v>
      </c>
      <c r="X32" s="1174">
        <f>MIN(X26,(X$35*('General Real Data (Obs.)'!$E$229/SUM('General Real Data (Obs.)'!$E$229:$E$231))))</f>
        <v>92</v>
      </c>
      <c r="Y32" s="1174">
        <f>MIN(Y26,(Y$35*('General Real Data (Obs.)'!$E$229/SUM('General Real Data (Obs.)'!$E$229:$E$231))))</f>
        <v>55</v>
      </c>
      <c r="Z32" s="1174">
        <f>MIN(Z26,(Z$35*('General Real Data (Obs.)'!$E$229/SUM('General Real Data (Obs.)'!$E$229:$E$231))))</f>
        <v>155.5</v>
      </c>
      <c r="AA32" s="1378">
        <f>SUM(B32:Z32)</f>
        <v>3361</v>
      </c>
    </row>
    <row r="33" spans="1:27" x14ac:dyDescent="0.3">
      <c r="A33" t="s">
        <v>1177</v>
      </c>
      <c r="B33" s="1376">
        <f>MIN(B27,(B$35*('General Real Data (Obs.)'!$E$229/SUM('General Real Data (Obs.)'!$E$229:$E$231))))</f>
        <v>250.5</v>
      </c>
      <c r="C33" s="1174">
        <f>MIN(C27,(C$35*('General Real Data (Obs.)'!$E$229/SUM('General Real Data (Obs.)'!$E$229:$E$231))))</f>
        <v>147</v>
      </c>
      <c r="D33" s="1174">
        <f>MIN(D27,(D$35*('General Real Data (Obs.)'!$E$229/SUM('General Real Data (Obs.)'!$E$229:$E$231))))</f>
        <v>63</v>
      </c>
      <c r="E33" s="1174">
        <f>MIN(E27,(E$35*('General Real Data (Obs.)'!$E$229/SUM('General Real Data (Obs.)'!$E$229:$E$231))))</f>
        <v>261</v>
      </c>
      <c r="F33" s="1174">
        <f>MIN(F27,(F$35*('General Real Data (Obs.)'!$E$229/SUM('General Real Data (Obs.)'!$E$229:$E$231))))</f>
        <v>54.5</v>
      </c>
      <c r="G33" s="1174">
        <f>MIN(G27,(G$35*('General Real Data (Obs.)'!$E$229/SUM('General Real Data (Obs.)'!$E$229:$E$231))))</f>
        <v>133</v>
      </c>
      <c r="H33" s="1174">
        <f>MIN(H27,(H$35*('General Real Data (Obs.)'!$E$229/SUM('General Real Data (Obs.)'!$E$229:$E$231))))</f>
        <v>230.5</v>
      </c>
      <c r="I33" s="1174">
        <f>MIN(I27,(I$35*('General Real Data (Obs.)'!$E$229/SUM('General Real Data (Obs.)'!$E$229:$E$231))))</f>
        <v>97.5</v>
      </c>
      <c r="J33" s="1174">
        <f>MIN(J27,(J$35*('General Real Data (Obs.)'!$E$229/SUM('General Real Data (Obs.)'!$E$229:$E$231))))</f>
        <v>71</v>
      </c>
      <c r="K33" s="1174">
        <f>MIN(K27,(K$35*('General Real Data (Obs.)'!$E$229/SUM('General Real Data (Obs.)'!$E$229:$E$231))))</f>
        <v>70</v>
      </c>
      <c r="L33" s="1174">
        <f>MIN(L27,(L$35*('General Real Data (Obs.)'!$E$229/SUM('General Real Data (Obs.)'!$E$229:$E$231))))</f>
        <v>132</v>
      </c>
      <c r="M33" s="1174">
        <f>MIN(M27,(M$35*('General Real Data (Obs.)'!$E$229/SUM('General Real Data (Obs.)'!$E$229:$E$231))))</f>
        <v>209.5</v>
      </c>
      <c r="N33" s="1174">
        <f>MIN(N27,(N$35*('General Real Data (Obs.)'!$E$229/SUM('General Real Data (Obs.)'!$E$229:$E$231))))</f>
        <v>222</v>
      </c>
      <c r="O33" s="1174">
        <f>MIN(O27,(O$35*('General Real Data (Obs.)'!$E$229/SUM('General Real Data (Obs.)'!$E$229:$E$231))))</f>
        <v>59.5</v>
      </c>
      <c r="P33" s="1174">
        <f>MIN(P27,(P$35*('General Real Data (Obs.)'!$E$229/SUM('General Real Data (Obs.)'!$E$229:$E$231))))</f>
        <v>214.5</v>
      </c>
      <c r="Q33" s="1174">
        <f>MIN(Q27,(Q$35*('General Real Data (Obs.)'!$E$229/SUM('General Real Data (Obs.)'!$E$229:$E$231))))</f>
        <v>44</v>
      </c>
      <c r="R33" s="1174">
        <f>MIN(R27,(R$35*('General Real Data (Obs.)'!$E$229/SUM('General Real Data (Obs.)'!$E$229:$E$231))))</f>
        <v>176.5</v>
      </c>
      <c r="S33" s="1174">
        <f>MIN(S27,(S$35*('General Real Data (Obs.)'!$E$229/SUM('General Real Data (Obs.)'!$E$229:$E$231))))</f>
        <v>94.5</v>
      </c>
      <c r="T33" s="1174">
        <f>MIN(T27,(T$35*('General Real Data (Obs.)'!$E$229/SUM('General Real Data (Obs.)'!$E$229:$E$231))))</f>
        <v>122.5</v>
      </c>
      <c r="U33" s="1174">
        <f>MIN(U27,(U$35*('General Real Data (Obs.)'!$E$229/SUM('General Real Data (Obs.)'!$E$229:$E$231))))</f>
        <v>212</v>
      </c>
      <c r="V33" s="1174">
        <f>MIN(V27,(V$35*('General Real Data (Obs.)'!$E$229/SUM('General Real Data (Obs.)'!$E$229:$E$231))))</f>
        <v>98</v>
      </c>
      <c r="W33" s="1174">
        <f>MIN(W27,(W$35*('General Real Data (Obs.)'!$E$229/SUM('General Real Data (Obs.)'!$E$229:$E$231))))</f>
        <v>95.5</v>
      </c>
      <c r="X33" s="1174">
        <f>MIN(X27,(X$35*('General Real Data (Obs.)'!$E$229/SUM('General Real Data (Obs.)'!$E$229:$E$231))))</f>
        <v>92</v>
      </c>
      <c r="Y33" s="1174">
        <f>MIN(Y27,(Y$35*('General Real Data (Obs.)'!$E$229/SUM('General Real Data (Obs.)'!$E$229:$E$231))))</f>
        <v>55</v>
      </c>
      <c r="Z33" s="1174">
        <f>MIN(Z27,(Z$35*('General Real Data (Obs.)'!$E$229/SUM('General Real Data (Obs.)'!$E$229:$E$231))))</f>
        <v>155.5</v>
      </c>
      <c r="AA33" s="1377">
        <f>SUM(B33:Z33)</f>
        <v>3361</v>
      </c>
    </row>
    <row r="34" spans="1:27" x14ac:dyDescent="0.3">
      <c r="A34" t="s">
        <v>1101</v>
      </c>
      <c r="B34" s="1376">
        <f>MIN(B28,(B$35*('General Real Data (Obs.)'!$E$229/SUM('General Real Data (Obs.)'!$E$229:$E$231))))</f>
        <v>0</v>
      </c>
      <c r="C34" s="1174">
        <f>MIN(C28,(C$35*('General Real Data (Obs.)'!$E$229/SUM('General Real Data (Obs.)'!$E$229:$E$231))))</f>
        <v>0</v>
      </c>
      <c r="D34" s="1174">
        <f>MIN(D28,(D$35*('General Real Data (Obs.)'!$E$229/SUM('General Real Data (Obs.)'!$E$229:$E$231))))</f>
        <v>0</v>
      </c>
      <c r="E34" s="1174">
        <f>MIN(E28,(E$35*('General Real Data (Obs.)'!$E$229/SUM('General Real Data (Obs.)'!$E$229:$E$231))))</f>
        <v>0</v>
      </c>
      <c r="F34" s="1174">
        <f>MIN(F28,(F$35*('General Real Data (Obs.)'!$E$229/SUM('General Real Data (Obs.)'!$E$229:$E$231))))</f>
        <v>0</v>
      </c>
      <c r="G34" s="1174">
        <f>MIN(G28,(G$35*('General Real Data (Obs.)'!$E$229/SUM('General Real Data (Obs.)'!$E$229:$E$231))))</f>
        <v>0</v>
      </c>
      <c r="H34" s="1174">
        <f>MIN(H28,(H$35*('General Real Data (Obs.)'!$E$229/SUM('General Real Data (Obs.)'!$E$229:$E$231))))</f>
        <v>0</v>
      </c>
      <c r="I34" s="1174">
        <f>MIN(I28,(I$35*('General Real Data (Obs.)'!$E$229/SUM('General Real Data (Obs.)'!$E$229:$E$231))))</f>
        <v>0</v>
      </c>
      <c r="J34" s="1174">
        <f>MIN(J28,(J$35*('General Real Data (Obs.)'!$E$229/SUM('General Real Data (Obs.)'!$E$229:$E$231))))</f>
        <v>0</v>
      </c>
      <c r="K34" s="1174">
        <f>MIN(K28,(K$35*('General Real Data (Obs.)'!$E$229/SUM('General Real Data (Obs.)'!$E$229:$E$231))))</f>
        <v>0</v>
      </c>
      <c r="L34" s="1174">
        <f>MIN(L28,(L$35*('General Real Data (Obs.)'!$E$229/SUM('General Real Data (Obs.)'!$E$229:$E$231))))</f>
        <v>0</v>
      </c>
      <c r="M34" s="1174">
        <f>MIN(M28,(M$35*('General Real Data (Obs.)'!$E$229/SUM('General Real Data (Obs.)'!$E$229:$E$231))))</f>
        <v>0</v>
      </c>
      <c r="N34" s="1174">
        <f>MIN(N28,(N$35*('General Real Data (Obs.)'!$E$229/SUM('General Real Data (Obs.)'!$E$229:$E$231))))</f>
        <v>0</v>
      </c>
      <c r="O34" s="1174">
        <f>MIN(O28,(O$35*('General Real Data (Obs.)'!$E$229/SUM('General Real Data (Obs.)'!$E$229:$E$231))))</f>
        <v>0</v>
      </c>
      <c r="P34" s="1174">
        <f>MIN(P28,(P$35*('General Real Data (Obs.)'!$E$229/SUM('General Real Data (Obs.)'!$E$229:$E$231))))</f>
        <v>0</v>
      </c>
      <c r="Q34" s="1174">
        <f>MIN(Q28,(Q$35*('General Real Data (Obs.)'!$E$229/SUM('General Real Data (Obs.)'!$E$229:$E$231))))</f>
        <v>0</v>
      </c>
      <c r="R34" s="1174">
        <f>MIN(R28,(R$35*('General Real Data (Obs.)'!$E$229/SUM('General Real Data (Obs.)'!$E$229:$E$231))))</f>
        <v>0</v>
      </c>
      <c r="S34" s="1174">
        <f>MIN(S28,(S$35*('General Real Data (Obs.)'!$E$229/SUM('General Real Data (Obs.)'!$E$229:$E$231))))</f>
        <v>0</v>
      </c>
      <c r="T34" s="1174">
        <f>MIN(T28,(T$35*('General Real Data (Obs.)'!$E$229/SUM('General Real Data (Obs.)'!$E$229:$E$231))))</f>
        <v>0</v>
      </c>
      <c r="U34" s="1174">
        <f>MIN(U28,(U$35*('General Real Data (Obs.)'!$E$229/SUM('General Real Data (Obs.)'!$E$229:$E$231))))</f>
        <v>0</v>
      </c>
      <c r="V34" s="1174">
        <f>MIN(V28,(V$35*('General Real Data (Obs.)'!$E$229/SUM('General Real Data (Obs.)'!$E$229:$E$231))))</f>
        <v>0</v>
      </c>
      <c r="W34" s="1174">
        <f>MIN(W28,(W$35*('General Real Data (Obs.)'!$E$229/SUM('General Real Data (Obs.)'!$E$229:$E$231))))</f>
        <v>0</v>
      </c>
      <c r="X34" s="1174">
        <f>MIN(X28,(X$35*('General Real Data (Obs.)'!$E$229/SUM('General Real Data (Obs.)'!$E$229:$E$231))))</f>
        <v>0</v>
      </c>
      <c r="Y34" s="1174">
        <f>MIN(Y28,(Y$35*('General Real Data (Obs.)'!$E$229/SUM('General Real Data (Obs.)'!$E$229:$E$231))))</f>
        <v>0</v>
      </c>
      <c r="Z34" s="1174">
        <f>MIN(Z28,(Z$35*('General Real Data (Obs.)'!$E$229/SUM('General Real Data (Obs.)'!$E$229:$E$231))))</f>
        <v>0</v>
      </c>
      <c r="AA34" s="1375">
        <f>SUM(B34:Z34)</f>
        <v>0</v>
      </c>
    </row>
    <row r="35" spans="1:27" x14ac:dyDescent="0.3">
      <c r="A35" s="1274" t="s">
        <v>1142</v>
      </c>
      <c r="B35" s="1374">
        <f>MIN(B29,(B31*'General Real Data (Obs.)'!$E$224))</f>
        <v>501</v>
      </c>
      <c r="C35" s="1373">
        <f>MIN(C29,(C31*'General Real Data (Obs.)'!$E$224))</f>
        <v>294</v>
      </c>
      <c r="D35" s="1373">
        <f>MIN(D29,(D31*'General Real Data (Obs.)'!$E$224))</f>
        <v>126</v>
      </c>
      <c r="E35" s="1373">
        <f>MIN(E29,(E31*'General Real Data (Obs.)'!$E$224))</f>
        <v>522</v>
      </c>
      <c r="F35" s="1373">
        <f>MIN(F29,(F31*'General Real Data (Obs.)'!$E$224))</f>
        <v>109</v>
      </c>
      <c r="G35" s="1373">
        <f>MIN(G29,(G31*'General Real Data (Obs.)'!$E$224))</f>
        <v>266</v>
      </c>
      <c r="H35" s="1373">
        <f>MIN(H29,(H31*'General Real Data (Obs.)'!$E$224))</f>
        <v>461</v>
      </c>
      <c r="I35" s="1373">
        <f>MIN(I29,(I31*'General Real Data (Obs.)'!$E$224))</f>
        <v>195</v>
      </c>
      <c r="J35" s="1373">
        <f>MIN(J29,(J31*'General Real Data (Obs.)'!$E$224))</f>
        <v>142</v>
      </c>
      <c r="K35" s="1373">
        <f>MIN(K29,(K31*'General Real Data (Obs.)'!$E$224))</f>
        <v>140</v>
      </c>
      <c r="L35" s="1373">
        <f>MIN(L29,(L31*'General Real Data (Obs.)'!$E$224))</f>
        <v>264</v>
      </c>
      <c r="M35" s="1373">
        <f>MIN(M29,(M31*'General Real Data (Obs.)'!$E$224))</f>
        <v>419</v>
      </c>
      <c r="N35" s="1373">
        <f>MIN(N29,(N31*'General Real Data (Obs.)'!$E$224))</f>
        <v>444</v>
      </c>
      <c r="O35" s="1373">
        <f>MIN(O29,(O31*'General Real Data (Obs.)'!$E$224))</f>
        <v>119</v>
      </c>
      <c r="P35" s="1373">
        <f>MIN(P29,(P31*'General Real Data (Obs.)'!$E$224))</f>
        <v>429</v>
      </c>
      <c r="Q35" s="1373">
        <f>MIN(Q29,(Q31*'General Real Data (Obs.)'!$E$224))</f>
        <v>88</v>
      </c>
      <c r="R35" s="1373">
        <f>MIN(R29,(R31*'General Real Data (Obs.)'!$E$224))</f>
        <v>353</v>
      </c>
      <c r="S35" s="1373">
        <f>MIN(S29,(S31*'General Real Data (Obs.)'!$E$224))</f>
        <v>189</v>
      </c>
      <c r="T35" s="1373">
        <f>MIN(T29,(T31*'General Real Data (Obs.)'!$E$224))</f>
        <v>245</v>
      </c>
      <c r="U35" s="1373">
        <f>MIN(U29,(U31*'General Real Data (Obs.)'!$E$224))</f>
        <v>424</v>
      </c>
      <c r="V35" s="1373">
        <f>MIN(V29,(V31*'General Real Data (Obs.)'!$E$224))</f>
        <v>196</v>
      </c>
      <c r="W35" s="1373">
        <f>MIN(W29,(W31*'General Real Data (Obs.)'!$E$224))</f>
        <v>191</v>
      </c>
      <c r="X35" s="1373">
        <f>MIN(X29,(X31*'General Real Data (Obs.)'!$E$224))</f>
        <v>184</v>
      </c>
      <c r="Y35" s="1373">
        <f>MIN(Y29,(Y31*'General Real Data (Obs.)'!$E$224))</f>
        <v>110</v>
      </c>
      <c r="Z35" s="1371">
        <f>MIN(Z29,(Z31*'General Real Data (Obs.)'!$E$224))</f>
        <v>311</v>
      </c>
      <c r="AA35" s="931">
        <f>SUM(B35:Z35)</f>
        <v>6722</v>
      </c>
    </row>
    <row r="36" spans="1:27" x14ac:dyDescent="0.3">
      <c r="AA36" s="1372"/>
    </row>
    <row r="37" spans="1:27" hidden="1" x14ac:dyDescent="0.3">
      <c r="A37" s="895" t="s">
        <v>1176</v>
      </c>
      <c r="B37" s="1367" t="e">
        <f>(1-'Hipóteses xerais (2)'!$C$29)*B33</f>
        <v>#N/A</v>
      </c>
      <c r="C37" s="1367" t="e">
        <f>(1-'Hipóteses xerais (2)'!$C$29)*C33</f>
        <v>#N/A</v>
      </c>
      <c r="D37" s="1367" t="e">
        <f>(1-'Hipóteses xerais (2)'!$C$29)*D33</f>
        <v>#N/A</v>
      </c>
      <c r="E37" s="1367" t="e">
        <f>(1-'Hipóteses xerais (2)'!$C$29)*E33</f>
        <v>#N/A</v>
      </c>
      <c r="F37" s="1367" t="e">
        <f>(1-'Hipóteses xerais (2)'!$C$29)*F33</f>
        <v>#N/A</v>
      </c>
      <c r="G37" s="1367" t="e">
        <f>(1-'Hipóteses xerais (2)'!$C$29)*G33</f>
        <v>#N/A</v>
      </c>
      <c r="H37" s="1367" t="e">
        <f>(1-'Hipóteses xerais (2)'!$C$29)*H33</f>
        <v>#N/A</v>
      </c>
      <c r="I37" s="1367" t="e">
        <f>(1-'Hipóteses xerais (2)'!$C$29)*I33</f>
        <v>#N/A</v>
      </c>
      <c r="J37" s="1367" t="e">
        <f>(1-'Hipóteses xerais (2)'!$C$29)*J33</f>
        <v>#N/A</v>
      </c>
      <c r="K37" s="1367" t="e">
        <f>(1-'Hipóteses xerais (2)'!$C$29)*K33</f>
        <v>#N/A</v>
      </c>
      <c r="L37" s="1367" t="e">
        <f>(1-'Hipóteses xerais (2)'!$C$29)*L33</f>
        <v>#N/A</v>
      </c>
      <c r="M37" s="1367" t="e">
        <f>(1-'Hipóteses xerais (2)'!$C$29)*M33</f>
        <v>#N/A</v>
      </c>
      <c r="N37" s="1367" t="e">
        <f>(1-'Hipóteses xerais (2)'!$C$29)*N33</f>
        <v>#N/A</v>
      </c>
      <c r="O37" s="1367" t="e">
        <f>(1-'Hipóteses xerais (2)'!$C$29)*O33</f>
        <v>#N/A</v>
      </c>
      <c r="P37" s="1367" t="e">
        <f>(1-'Hipóteses xerais (2)'!$C$29)*P33</f>
        <v>#N/A</v>
      </c>
      <c r="Q37" s="1367" t="e">
        <f>(1-'Hipóteses xerais (2)'!$C$29)*Q33</f>
        <v>#N/A</v>
      </c>
      <c r="R37" s="1367" t="e">
        <f>(1-'Hipóteses xerais (2)'!$C$29)*R33</f>
        <v>#N/A</v>
      </c>
      <c r="S37" s="1367" t="e">
        <f>(1-'Hipóteses xerais (2)'!$C$29)*S33</f>
        <v>#N/A</v>
      </c>
      <c r="T37" s="1367" t="e">
        <f>(1-'Hipóteses xerais (2)'!$C$29)*T33</f>
        <v>#N/A</v>
      </c>
      <c r="U37" s="1367" t="e">
        <f>(1-'Hipóteses xerais (2)'!$C$29)*U33</f>
        <v>#N/A</v>
      </c>
      <c r="V37" s="1367" t="e">
        <f>(1-'Hipóteses xerais (2)'!$C$29)*V33</f>
        <v>#N/A</v>
      </c>
      <c r="W37" s="1367" t="e">
        <f>(1-'Hipóteses xerais (2)'!$C$29)*W33</f>
        <v>#N/A</v>
      </c>
      <c r="X37" s="1367" t="e">
        <f>(1-'Hipóteses xerais (2)'!$C$29)*X33</f>
        <v>#N/A</v>
      </c>
      <c r="Y37" s="1367" t="e">
        <f>(1-'Hipóteses xerais (2)'!$C$29)*Y33</f>
        <v>#N/A</v>
      </c>
      <c r="Z37" s="1367" t="e">
        <f>(1-'Hipóteses xerais (2)'!$C$29)*Z33</f>
        <v>#N/A</v>
      </c>
      <c r="AA37" s="1371" t="e">
        <f>SUM(B37:Z37)</f>
        <v>#N/A</v>
      </c>
    </row>
    <row r="38" spans="1:27" hidden="1" x14ac:dyDescent="0.3">
      <c r="A38" s="1098" t="s">
        <v>1175</v>
      </c>
      <c r="B38" s="1367" t="e">
        <f>'Hipóteses xerais (2)'!$C$29*B33</f>
        <v>#N/A</v>
      </c>
      <c r="C38" s="1367" t="e">
        <f>'Hipóteses xerais (2)'!$C$29*C33</f>
        <v>#N/A</v>
      </c>
      <c r="D38" s="1367" t="e">
        <f>'Hipóteses xerais (2)'!$C$29*D33</f>
        <v>#N/A</v>
      </c>
      <c r="E38" s="1367" t="e">
        <f>'Hipóteses xerais (2)'!$C$29*E33</f>
        <v>#N/A</v>
      </c>
      <c r="F38" s="1367" t="e">
        <f>'Hipóteses xerais (2)'!$C$29*F33</f>
        <v>#N/A</v>
      </c>
      <c r="G38" s="1367" t="e">
        <f>'Hipóteses xerais (2)'!$C$29*G33</f>
        <v>#N/A</v>
      </c>
      <c r="H38" s="1367" t="e">
        <f>'Hipóteses xerais (2)'!$C$29*H33</f>
        <v>#N/A</v>
      </c>
      <c r="I38" s="1367" t="e">
        <f>'Hipóteses xerais (2)'!$C$29*I33</f>
        <v>#N/A</v>
      </c>
      <c r="J38" s="1367" t="e">
        <f>'Hipóteses xerais (2)'!$C$29*J33</f>
        <v>#N/A</v>
      </c>
      <c r="K38" s="1367" t="e">
        <f>'Hipóteses xerais (2)'!$C$29*K33</f>
        <v>#N/A</v>
      </c>
      <c r="L38" s="1367" t="e">
        <f>'Hipóteses xerais (2)'!$C$29*L33</f>
        <v>#N/A</v>
      </c>
      <c r="M38" s="1367" t="e">
        <f>'Hipóteses xerais (2)'!$C$29*M33</f>
        <v>#N/A</v>
      </c>
      <c r="N38" s="1367" t="e">
        <f>'Hipóteses xerais (2)'!$C$29*N33</f>
        <v>#N/A</v>
      </c>
      <c r="O38" s="1367" t="e">
        <f>'Hipóteses xerais (2)'!$C$29*O33</f>
        <v>#N/A</v>
      </c>
      <c r="P38" s="1367" t="e">
        <f>'Hipóteses xerais (2)'!$C$29*P33</f>
        <v>#N/A</v>
      </c>
      <c r="Q38" s="1367" t="e">
        <f>'Hipóteses xerais (2)'!$C$29*Q33</f>
        <v>#N/A</v>
      </c>
      <c r="R38" s="1367" t="e">
        <f>'Hipóteses xerais (2)'!$C$29*R33</f>
        <v>#N/A</v>
      </c>
      <c r="S38" s="1367" t="e">
        <f>'Hipóteses xerais (2)'!$C$29*S33</f>
        <v>#N/A</v>
      </c>
      <c r="T38" s="1367" t="e">
        <f>'Hipóteses xerais (2)'!$C$29*T33</f>
        <v>#N/A</v>
      </c>
      <c r="U38" s="1367" t="e">
        <f>'Hipóteses xerais (2)'!$C$29*U33</f>
        <v>#N/A</v>
      </c>
      <c r="V38" s="1367" t="e">
        <f>'Hipóteses xerais (2)'!$C$29*V33</f>
        <v>#N/A</v>
      </c>
      <c r="W38" s="1367" t="e">
        <f>'Hipóteses xerais (2)'!$C$29*W33</f>
        <v>#N/A</v>
      </c>
      <c r="X38" s="1367" t="e">
        <f>'Hipóteses xerais (2)'!$C$29*X33</f>
        <v>#N/A</v>
      </c>
      <c r="Y38" s="1367" t="e">
        <f>'Hipóteses xerais (2)'!$C$29*Y33</f>
        <v>#N/A</v>
      </c>
      <c r="Z38" s="1367" t="e">
        <f>'Hipóteses xerais (2)'!$C$29*Z33</f>
        <v>#N/A</v>
      </c>
      <c r="AA38" s="1371" t="e">
        <f>SUM(B38:Z38)</f>
        <v>#N/A</v>
      </c>
    </row>
    <row r="39" spans="1:27" hidden="1" x14ac:dyDescent="0.3"/>
    <row r="40" spans="1:27" x14ac:dyDescent="0.3">
      <c r="A40" s="1098" t="s">
        <v>1097</v>
      </c>
      <c r="B40" s="1370">
        <f t="shared" ref="B40:Z40" si="5">B31-B32</f>
        <v>250.5</v>
      </c>
      <c r="C40" s="1369">
        <f t="shared" si="5"/>
        <v>147</v>
      </c>
      <c r="D40" s="1369">
        <f t="shared" si="5"/>
        <v>63</v>
      </c>
      <c r="E40" s="1369">
        <f t="shared" si="5"/>
        <v>261</v>
      </c>
      <c r="F40" s="1369">
        <f t="shared" si="5"/>
        <v>54.5</v>
      </c>
      <c r="G40" s="1369">
        <f t="shared" si="5"/>
        <v>133</v>
      </c>
      <c r="H40" s="1369">
        <f t="shared" si="5"/>
        <v>230.5</v>
      </c>
      <c r="I40" s="1369">
        <f t="shared" si="5"/>
        <v>97.5</v>
      </c>
      <c r="J40" s="1369">
        <f t="shared" si="5"/>
        <v>71</v>
      </c>
      <c r="K40" s="1369">
        <f t="shared" si="5"/>
        <v>70</v>
      </c>
      <c r="L40" s="1369">
        <f t="shared" si="5"/>
        <v>132</v>
      </c>
      <c r="M40" s="1369">
        <f t="shared" si="5"/>
        <v>209.5</v>
      </c>
      <c r="N40" s="1369">
        <f t="shared" si="5"/>
        <v>222</v>
      </c>
      <c r="O40" s="1369">
        <f t="shared" si="5"/>
        <v>59.5</v>
      </c>
      <c r="P40" s="1369">
        <f t="shared" si="5"/>
        <v>214.5</v>
      </c>
      <c r="Q40" s="1369">
        <f t="shared" si="5"/>
        <v>44</v>
      </c>
      <c r="R40" s="1369">
        <f t="shared" si="5"/>
        <v>176.5</v>
      </c>
      <c r="S40" s="1369">
        <f t="shared" si="5"/>
        <v>94.5</v>
      </c>
      <c r="T40" s="1369">
        <f t="shared" si="5"/>
        <v>122.5</v>
      </c>
      <c r="U40" s="1369">
        <f t="shared" si="5"/>
        <v>212</v>
      </c>
      <c r="V40" s="1369">
        <f t="shared" si="5"/>
        <v>98</v>
      </c>
      <c r="W40" s="1369">
        <f t="shared" si="5"/>
        <v>95.5</v>
      </c>
      <c r="X40" s="1369">
        <f t="shared" si="5"/>
        <v>92</v>
      </c>
      <c r="Y40" s="1369">
        <f t="shared" si="5"/>
        <v>55</v>
      </c>
      <c r="Z40" s="1368">
        <f t="shared" si="5"/>
        <v>155.5</v>
      </c>
      <c r="AA40" s="931">
        <f>SUM(B40:Z40)</f>
        <v>3361</v>
      </c>
    </row>
    <row r="43" spans="1:27" x14ac:dyDescent="0.3">
      <c r="A43" s="1098" t="s">
        <v>1174</v>
      </c>
      <c r="B43" s="1265">
        <f t="shared" ref="B43:AA43" si="6">B31-B32-B40</f>
        <v>0</v>
      </c>
      <c r="C43" s="1262">
        <f t="shared" si="6"/>
        <v>0</v>
      </c>
      <c r="D43" s="1262">
        <f t="shared" si="6"/>
        <v>0</v>
      </c>
      <c r="E43" s="1262">
        <f t="shared" si="6"/>
        <v>0</v>
      </c>
      <c r="F43" s="1262">
        <f t="shared" si="6"/>
        <v>0</v>
      </c>
      <c r="G43" s="1262">
        <f t="shared" si="6"/>
        <v>0</v>
      </c>
      <c r="H43" s="1262">
        <f t="shared" si="6"/>
        <v>0</v>
      </c>
      <c r="I43" s="1262">
        <f t="shared" si="6"/>
        <v>0</v>
      </c>
      <c r="J43" s="1262">
        <f t="shared" si="6"/>
        <v>0</v>
      </c>
      <c r="K43" s="1262">
        <f t="shared" si="6"/>
        <v>0</v>
      </c>
      <c r="L43" s="1262">
        <f t="shared" si="6"/>
        <v>0</v>
      </c>
      <c r="M43" s="1262">
        <f t="shared" si="6"/>
        <v>0</v>
      </c>
      <c r="N43" s="1262">
        <f t="shared" si="6"/>
        <v>0</v>
      </c>
      <c r="O43" s="1262">
        <f t="shared" si="6"/>
        <v>0</v>
      </c>
      <c r="P43" s="1262">
        <f t="shared" si="6"/>
        <v>0</v>
      </c>
      <c r="Q43" s="1262">
        <f t="shared" si="6"/>
        <v>0</v>
      </c>
      <c r="R43" s="1262">
        <f t="shared" si="6"/>
        <v>0</v>
      </c>
      <c r="S43" s="1262">
        <f t="shared" si="6"/>
        <v>0</v>
      </c>
      <c r="T43" s="1262">
        <f t="shared" si="6"/>
        <v>0</v>
      </c>
      <c r="U43" s="1262">
        <f t="shared" si="6"/>
        <v>0</v>
      </c>
      <c r="V43" s="1262">
        <f t="shared" si="6"/>
        <v>0</v>
      </c>
      <c r="W43" s="1262">
        <f t="shared" si="6"/>
        <v>0</v>
      </c>
      <c r="X43" s="1262">
        <f t="shared" si="6"/>
        <v>0</v>
      </c>
      <c r="Y43" s="1262">
        <f t="shared" si="6"/>
        <v>0</v>
      </c>
      <c r="Z43" s="1262">
        <f t="shared" si="6"/>
        <v>0</v>
      </c>
      <c r="AA43" s="1367">
        <f t="shared" si="6"/>
        <v>0</v>
      </c>
    </row>
    <row r="44" spans="1:27" ht="28.8" x14ac:dyDescent="0.3">
      <c r="A44" s="1167" t="s">
        <v>1173</v>
      </c>
      <c r="B44" s="1366">
        <f>B29-B32-B33-B34</f>
        <v>53.761975602499206</v>
      </c>
      <c r="C44" s="1365">
        <f t="shared" ref="C44:Z44" si="7">C29-C32-C33-C34</f>
        <v>31.548943766736102</v>
      </c>
      <c r="D44" s="1365">
        <f t="shared" si="7"/>
        <v>13.520975900029754</v>
      </c>
      <c r="E44" s="1365">
        <f t="shared" si="7"/>
        <v>56.015471585837531</v>
      </c>
      <c r="F44" s="1365">
        <f t="shared" si="7"/>
        <v>11.696717246851122</v>
      </c>
      <c r="G44" s="1365">
        <f t="shared" si="7"/>
        <v>28.544282455618315</v>
      </c>
      <c r="H44" s="1365">
        <f t="shared" si="7"/>
        <v>49.469602300902466</v>
      </c>
      <c r="I44" s="1365">
        <f t="shared" si="7"/>
        <v>20.925319845284122</v>
      </c>
      <c r="J44" s="1365">
        <f t="shared" si="7"/>
        <v>15.237925220668444</v>
      </c>
      <c r="K44" s="1365">
        <f t="shared" si="7"/>
        <v>15.023306555588618</v>
      </c>
      <c r="L44" s="1365">
        <f t="shared" si="7"/>
        <v>28.329663790538518</v>
      </c>
      <c r="M44" s="1365">
        <f t="shared" si="7"/>
        <v>44.962610334225928</v>
      </c>
      <c r="N44" s="1365">
        <f t="shared" si="7"/>
        <v>47.645343647723848</v>
      </c>
      <c r="O44" s="1365">
        <f t="shared" si="7"/>
        <v>12.769810572250321</v>
      </c>
      <c r="P44" s="1365">
        <f t="shared" si="7"/>
        <v>46.035703659625142</v>
      </c>
      <c r="Q44" s="1365">
        <f t="shared" si="7"/>
        <v>9.4432212635128394</v>
      </c>
      <c r="R44" s="1365">
        <f t="shared" si="7"/>
        <v>37.880194386591256</v>
      </c>
      <c r="S44" s="1365">
        <f t="shared" si="7"/>
        <v>20.281463850044645</v>
      </c>
      <c r="T44" s="1365">
        <f t="shared" si="7"/>
        <v>26.290786472280047</v>
      </c>
      <c r="U44" s="1365">
        <f t="shared" si="7"/>
        <v>45.499156996925535</v>
      </c>
      <c r="V44" s="1365">
        <f t="shared" si="7"/>
        <v>21.032629177824049</v>
      </c>
      <c r="W44" s="1365">
        <f t="shared" si="7"/>
        <v>20.496082515124471</v>
      </c>
      <c r="X44" s="1365">
        <f t="shared" si="7"/>
        <v>19.74491718734501</v>
      </c>
      <c r="Y44" s="1365">
        <f t="shared" si="7"/>
        <v>11.804026579391063</v>
      </c>
      <c r="Z44" s="1364">
        <f t="shared" si="7"/>
        <v>33.373202419914662</v>
      </c>
      <c r="AA44" s="1267">
        <f>SUM(B44:Z44)</f>
        <v>721.33333333333303</v>
      </c>
    </row>
    <row r="46" spans="1:27" x14ac:dyDescent="0.3">
      <c r="AA46" s="6"/>
    </row>
  </sheetData>
  <conditionalFormatting sqref="B43:AA43">
    <cfRule type="cellIs" dxfId="1" priority="1" operator="equal">
      <formula>0</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DE27-E636-4CEA-8CDC-CA587038F713}">
  <dimension ref="A1:AA10"/>
  <sheetViews>
    <sheetView workbookViewId="0">
      <selection activeCell="B3" sqref="B3"/>
    </sheetView>
  </sheetViews>
  <sheetFormatPr baseColWidth="10" defaultColWidth="11.5546875" defaultRowHeight="14.4" x14ac:dyDescent="0.3"/>
  <cols>
    <col min="1" max="1" width="41.6640625" customWidth="1"/>
  </cols>
  <sheetData>
    <row r="1" spans="1:27" ht="29.4" thickBot="1" x14ac:dyDescent="0.35">
      <c r="A1" s="1337" t="s">
        <v>1136</v>
      </c>
      <c r="B1" s="1336">
        <v>1</v>
      </c>
      <c r="C1" s="1336">
        <v>2</v>
      </c>
      <c r="D1" s="1336">
        <v>3</v>
      </c>
      <c r="E1" s="1336">
        <v>4</v>
      </c>
      <c r="F1" s="1336">
        <v>5</v>
      </c>
      <c r="G1" s="1336">
        <v>6</v>
      </c>
      <c r="H1" s="1336">
        <v>7</v>
      </c>
      <c r="I1" s="1336">
        <v>8</v>
      </c>
      <c r="J1" s="1336">
        <v>9</v>
      </c>
      <c r="K1" s="1336">
        <v>10</v>
      </c>
      <c r="L1" s="1336">
        <v>11</v>
      </c>
      <c r="M1" s="1336">
        <v>12</v>
      </c>
      <c r="N1" s="1336">
        <v>13</v>
      </c>
      <c r="O1" s="1336">
        <v>14</v>
      </c>
      <c r="P1" s="1336">
        <v>15</v>
      </c>
      <c r="Q1" s="1336">
        <v>16</v>
      </c>
      <c r="R1" s="1336">
        <v>17</v>
      </c>
      <c r="S1" s="1336">
        <v>18</v>
      </c>
      <c r="T1" s="1336">
        <v>19</v>
      </c>
      <c r="U1" s="1336">
        <v>20</v>
      </c>
      <c r="V1" s="1336">
        <v>21</v>
      </c>
      <c r="W1" s="1336">
        <v>22</v>
      </c>
      <c r="X1" s="1336">
        <v>23</v>
      </c>
      <c r="Y1" s="1336">
        <v>24</v>
      </c>
      <c r="Z1" s="1336">
        <v>25</v>
      </c>
      <c r="AA1" s="1335" t="s">
        <v>1164</v>
      </c>
    </row>
    <row r="2" spans="1:27" x14ac:dyDescent="0.3">
      <c r="A2" s="65" t="s">
        <v>568</v>
      </c>
    </row>
    <row r="3" spans="1:27" x14ac:dyDescent="0.3">
      <c r="A3" s="796" t="s">
        <v>1163</v>
      </c>
      <c r="B3" s="1045">
        <f>'Factura Socios Con CE (2)'!B17-'Factura Socios Sen CE (2)'!B17</f>
        <v>-30.46205250000002</v>
      </c>
      <c r="C3" s="1045">
        <f>'Factura Socios Con CE (2)'!C17-'Factura Socios Sen CE (2)'!C17</f>
        <v>-17.875935000000005</v>
      </c>
      <c r="D3" s="1045">
        <f>'Factura Socios Con CE (2)'!D17-'Factura Socios Sen CE (2)'!D17</f>
        <v>-7.6611149999999988</v>
      </c>
      <c r="E3" s="1045">
        <f>'Factura Socios Con CE (2)'!E17-'Factura Socios Sen CE (2)'!E17</f>
        <v>-31.738904999999988</v>
      </c>
      <c r="F3" s="1045">
        <f>'Factura Socios Con CE (2)'!F17-'Factura Socios Sen CE (2)'!F17</f>
        <v>-6.6274725000000032</v>
      </c>
      <c r="G3" s="1045">
        <f>'Factura Socios Con CE (2)'!G17-'Factura Socios Sen CE (2)'!G17</f>
        <v>-16.173465000000007</v>
      </c>
      <c r="H3" s="1045">
        <f>'Factura Socios Con CE (2)'!H17-'Factura Socios Sen CE (2)'!H17</f>
        <v>-28.029952500000007</v>
      </c>
      <c r="I3" s="1045">
        <f>'Factura Socios Con CE (2)'!I17-'Factura Socios Sen CE (2)'!I17</f>
        <v>-11.8564875</v>
      </c>
      <c r="J3" s="1045">
        <f>'Factura Socios Con CE (2)'!J17-'Factura Socios Sen CE (2)'!J17</f>
        <v>-8.6339550000000003</v>
      </c>
      <c r="K3" s="1045">
        <f>'Factura Socios Con CE (2)'!K17-'Factura Socios Sen CE (2)'!K17</f>
        <v>-8.5123499999999979</v>
      </c>
      <c r="L3" s="1045">
        <f>'Factura Socios Con CE (2)'!L17-'Factura Socios Sen CE (2)'!L17</f>
        <v>-16.051860000000005</v>
      </c>
      <c r="M3" s="1045">
        <f>'Factura Socios Con CE (2)'!M17-'Factura Socios Sen CE (2)'!M17</f>
        <v>-25.476247500000007</v>
      </c>
      <c r="N3" s="1045">
        <f>'Factura Socios Con CE (2)'!N17-'Factura Socios Sen CE (2)'!N17</f>
        <v>-26.996309999999994</v>
      </c>
      <c r="O3" s="1045">
        <f>'Factura Socios Con CE (2)'!O17-'Factura Socios Sen CE (2)'!O17</f>
        <v>-7.2354975000000046</v>
      </c>
      <c r="P3" s="1045">
        <f>'Factura Socios Con CE (2)'!P17-'Factura Socios Sen CE (2)'!P17</f>
        <v>-26.084272500000004</v>
      </c>
      <c r="Q3" s="1045">
        <f>'Factura Socios Con CE (2)'!Q17-'Factura Socios Sen CE (2)'!Q17</f>
        <v>-5.3506199999999993</v>
      </c>
      <c r="R3" s="1045">
        <f>'Factura Socios Con CE (2)'!R17-'Factura Socios Sen CE (2)'!R17</f>
        <v>-21.463282500000005</v>
      </c>
      <c r="S3" s="1045">
        <f>'Factura Socios Con CE (2)'!S17-'Factura Socios Sen CE (2)'!S17</f>
        <v>-11.491672500000007</v>
      </c>
      <c r="T3" s="1045">
        <f>'Factura Socios Con CE (2)'!T17-'Factura Socios Sen CE (2)'!T17</f>
        <v>-14.896612500000003</v>
      </c>
      <c r="U3" s="1045">
        <f>'Factura Socios Con CE (2)'!U17-'Factura Socios Sen CE (2)'!U17</f>
        <v>-25.780260000000006</v>
      </c>
      <c r="V3" s="1045">
        <f>'Factura Socios Con CE (2)'!V17-'Factura Socios Sen CE (2)'!V17</f>
        <v>-11.917290000000012</v>
      </c>
      <c r="W3" s="1045">
        <f>'Factura Socios Con CE (2)'!W17-'Factura Socios Sen CE (2)'!W17</f>
        <v>-11.613277500000006</v>
      </c>
      <c r="X3" s="1045">
        <f>'Factura Socios Con CE (2)'!X17-'Factura Socios Sen CE (2)'!X17</f>
        <v>-11.187660000000012</v>
      </c>
      <c r="Y3" s="1045">
        <f>'Factura Socios Con CE (2)'!Y17-'Factura Socios Sen CE (2)'!Y17</f>
        <v>-6.6882750000000009</v>
      </c>
      <c r="Z3" s="1045">
        <f>'Factura Socios Con CE (2)'!Z17-'Factura Socios Sen CE (2)'!Z17</f>
        <v>-18.909577500000005</v>
      </c>
      <c r="AA3" s="1099">
        <f>SUM(B3:Z3)</f>
        <v>-408.71440500000006</v>
      </c>
    </row>
    <row r="4" spans="1:27" x14ac:dyDescent="0.3">
      <c r="A4" s="1334" t="s">
        <v>1162</v>
      </c>
    </row>
    <row r="6" spans="1:27" ht="28.8" x14ac:dyDescent="0.3">
      <c r="A6" s="1333" t="s">
        <v>1161</v>
      </c>
      <c r="B6" s="1332">
        <f>'Factura Socios Con CE (2)'!B21</f>
        <v>12.525</v>
      </c>
      <c r="C6" s="1331">
        <f>'Factura Socios Con CE (2)'!C21</f>
        <v>7.3500000000000005</v>
      </c>
      <c r="D6" s="1331">
        <f>'Factura Socios Con CE (2)'!D21</f>
        <v>3.1500000000000004</v>
      </c>
      <c r="E6" s="1331">
        <f>'Factura Socios Con CE (2)'!E21</f>
        <v>13.05</v>
      </c>
      <c r="F6" s="1331">
        <f>'Factura Socios Con CE (2)'!F21</f>
        <v>2.7250000000000001</v>
      </c>
      <c r="G6" s="1331">
        <f>'Factura Socios Con CE (2)'!G21</f>
        <v>6.65</v>
      </c>
      <c r="H6" s="1331">
        <f>'Factura Socios Con CE (2)'!H21</f>
        <v>11.525</v>
      </c>
      <c r="I6" s="1331">
        <f>'Factura Socios Con CE (2)'!I21</f>
        <v>4.875</v>
      </c>
      <c r="J6" s="1331">
        <f>'Factura Socios Con CE (2)'!J21</f>
        <v>3.5500000000000003</v>
      </c>
      <c r="K6" s="1331">
        <f>'Factura Socios Con CE (2)'!K21</f>
        <v>3.5</v>
      </c>
      <c r="L6" s="1331">
        <f>'Factura Socios Con CE (2)'!L21</f>
        <v>6.6000000000000005</v>
      </c>
      <c r="M6" s="1331">
        <f>'Factura Socios Con CE (2)'!M21</f>
        <v>10.475000000000001</v>
      </c>
      <c r="N6" s="1331">
        <f>'Factura Socios Con CE (2)'!N21</f>
        <v>11.100000000000001</v>
      </c>
      <c r="O6" s="1331">
        <f>'Factura Socios Con CE (2)'!O21</f>
        <v>2.9750000000000001</v>
      </c>
      <c r="P6" s="1331">
        <f>'Factura Socios Con CE (2)'!P21</f>
        <v>10.725000000000001</v>
      </c>
      <c r="Q6" s="1331">
        <f>'Factura Socios Con CE (2)'!Q21</f>
        <v>2.2000000000000002</v>
      </c>
      <c r="R6" s="1331">
        <f>'Factura Socios Con CE (2)'!R21</f>
        <v>8.8250000000000011</v>
      </c>
      <c r="S6" s="1331">
        <f>'Factura Socios Con CE (2)'!S21</f>
        <v>4.7250000000000005</v>
      </c>
      <c r="T6" s="1331">
        <f>'Factura Socios Con CE (2)'!T21</f>
        <v>6.125</v>
      </c>
      <c r="U6" s="1331">
        <f>'Factura Socios Con CE (2)'!U21</f>
        <v>10.600000000000001</v>
      </c>
      <c r="V6" s="1331">
        <f>'Factura Socios Con CE (2)'!V21</f>
        <v>4.9000000000000004</v>
      </c>
      <c r="W6" s="1331">
        <f>'Factura Socios Con CE (2)'!W21</f>
        <v>4.7750000000000004</v>
      </c>
      <c r="X6" s="1331">
        <f>'Factura Socios Con CE (2)'!X21</f>
        <v>4.6000000000000005</v>
      </c>
      <c r="Y6" s="1331">
        <f>'Factura Socios Con CE (2)'!Y21</f>
        <v>2.75</v>
      </c>
      <c r="Z6" s="1330">
        <f>'Factura Socios Con CE (2)'!Z21</f>
        <v>7.7750000000000004</v>
      </c>
      <c r="AA6" s="1068">
        <f>SUM(B6:Z6)</f>
        <v>168.04999999999998</v>
      </c>
    </row>
    <row r="7" spans="1:27" ht="28.8" x14ac:dyDescent="0.3">
      <c r="A7" s="1271" t="s">
        <v>1160</v>
      </c>
      <c r="B7" s="1322">
        <f>'Factura Socios Con CE (2)'!B22</f>
        <v>0</v>
      </c>
      <c r="C7" s="1321">
        <f>'Factura Socios Con CE (2)'!C22</f>
        <v>0</v>
      </c>
      <c r="D7" s="1321">
        <f>'Factura Socios Con CE (2)'!D22</f>
        <v>0</v>
      </c>
      <c r="E7" s="1321">
        <f>'Factura Socios Con CE (2)'!E22</f>
        <v>0</v>
      </c>
      <c r="F7" s="1321">
        <f>'Factura Socios Con CE (2)'!F22</f>
        <v>0</v>
      </c>
      <c r="G7" s="1321">
        <f>'Factura Socios Con CE (2)'!G22</f>
        <v>0</v>
      </c>
      <c r="H7" s="1321">
        <f>'Factura Socios Con CE (2)'!H22</f>
        <v>0</v>
      </c>
      <c r="I7" s="1321">
        <f>'Factura Socios Con CE (2)'!I22</f>
        <v>0</v>
      </c>
      <c r="J7" s="1321">
        <f>'Factura Socios Con CE (2)'!J22</f>
        <v>0</v>
      </c>
      <c r="K7" s="1321">
        <f>'Factura Socios Con CE (2)'!K22</f>
        <v>0</v>
      </c>
      <c r="L7" s="1321">
        <f>'Factura Socios Con CE (2)'!L22</f>
        <v>0</v>
      </c>
      <c r="M7" s="1321">
        <f>'Factura Socios Con CE (2)'!M22</f>
        <v>0</v>
      </c>
      <c r="N7" s="1321">
        <f>'Factura Socios Con CE (2)'!N22</f>
        <v>0</v>
      </c>
      <c r="O7" s="1321">
        <f>'Factura Socios Con CE (2)'!O22</f>
        <v>0</v>
      </c>
      <c r="P7" s="1321">
        <f>'Factura Socios Con CE (2)'!P22</f>
        <v>0</v>
      </c>
      <c r="Q7" s="1321">
        <f>'Factura Socios Con CE (2)'!Q22</f>
        <v>0</v>
      </c>
      <c r="R7" s="1321">
        <f>'Factura Socios Con CE (2)'!R22</f>
        <v>0</v>
      </c>
      <c r="S7" s="1321">
        <f>'Factura Socios Con CE (2)'!S22</f>
        <v>0</v>
      </c>
      <c r="T7" s="1321">
        <f>'Factura Socios Con CE (2)'!T22</f>
        <v>0</v>
      </c>
      <c r="U7" s="1321">
        <f>'Factura Socios Con CE (2)'!U22</f>
        <v>0</v>
      </c>
      <c r="V7" s="1321">
        <f>'Factura Socios Con CE (2)'!V22</f>
        <v>0</v>
      </c>
      <c r="W7" s="1321">
        <f>'Factura Socios Con CE (2)'!W22</f>
        <v>0</v>
      </c>
      <c r="X7" s="1321">
        <f>'Factura Socios Con CE (2)'!X22</f>
        <v>0</v>
      </c>
      <c r="Y7" s="1321">
        <f>'Factura Socios Con CE (2)'!Y22</f>
        <v>0</v>
      </c>
      <c r="Z7" s="1320">
        <f>'Factura Socios Con CE (2)'!Z22</f>
        <v>0</v>
      </c>
      <c r="AA7" s="1068">
        <f>SUM(B7:Z7)</f>
        <v>0</v>
      </c>
    </row>
    <row r="8" spans="1:27" ht="15" thickBot="1" x14ac:dyDescent="0.35"/>
    <row r="9" spans="1:27" ht="15" thickBot="1" x14ac:dyDescent="0.35">
      <c r="A9" s="1397" t="s">
        <v>1179</v>
      </c>
      <c r="B9" s="1396">
        <f t="shared" ref="B9:Z9" si="0">IF(B7=0,B6-B3,B7-B3)</f>
        <v>42.987052500000019</v>
      </c>
      <c r="C9" s="1395">
        <f t="shared" si="0"/>
        <v>25.225935000000007</v>
      </c>
      <c r="D9" s="1395">
        <f t="shared" si="0"/>
        <v>10.811114999999999</v>
      </c>
      <c r="E9" s="1395">
        <f t="shared" si="0"/>
        <v>44.788904999999986</v>
      </c>
      <c r="F9" s="1395">
        <f t="shared" si="0"/>
        <v>9.3524725000000029</v>
      </c>
      <c r="G9" s="1395">
        <f t="shared" si="0"/>
        <v>22.823465000000006</v>
      </c>
      <c r="H9" s="1395">
        <f t="shared" si="0"/>
        <v>39.554952500000006</v>
      </c>
      <c r="I9" s="1395">
        <f t="shared" si="0"/>
        <v>16.7314875</v>
      </c>
      <c r="J9" s="1395">
        <f t="shared" si="0"/>
        <v>12.183955000000001</v>
      </c>
      <c r="K9" s="1395">
        <f t="shared" si="0"/>
        <v>12.012349999999998</v>
      </c>
      <c r="L9" s="1395">
        <f t="shared" si="0"/>
        <v>22.651860000000006</v>
      </c>
      <c r="M9" s="1395">
        <f t="shared" si="0"/>
        <v>35.951247500000008</v>
      </c>
      <c r="N9" s="1395">
        <f t="shared" si="0"/>
        <v>38.096309999999995</v>
      </c>
      <c r="O9" s="1395">
        <f t="shared" si="0"/>
        <v>10.210497500000004</v>
      </c>
      <c r="P9" s="1395">
        <f t="shared" si="0"/>
        <v>36.809272500000006</v>
      </c>
      <c r="Q9" s="1395">
        <f t="shared" si="0"/>
        <v>7.5506199999999994</v>
      </c>
      <c r="R9" s="1395">
        <f t="shared" si="0"/>
        <v>30.288282500000008</v>
      </c>
      <c r="S9" s="1395">
        <f t="shared" si="0"/>
        <v>16.216672500000008</v>
      </c>
      <c r="T9" s="1395">
        <f t="shared" si="0"/>
        <v>21.021612500000003</v>
      </c>
      <c r="U9" s="1395">
        <f t="shared" si="0"/>
        <v>36.380260000000007</v>
      </c>
      <c r="V9" s="1395">
        <f t="shared" si="0"/>
        <v>16.817290000000014</v>
      </c>
      <c r="W9" s="1395">
        <f t="shared" si="0"/>
        <v>16.388277500000008</v>
      </c>
      <c r="X9" s="1395">
        <f t="shared" si="0"/>
        <v>15.787660000000013</v>
      </c>
      <c r="Y9" s="1395">
        <f t="shared" si="0"/>
        <v>9.4382750000000009</v>
      </c>
      <c r="Z9" s="1394">
        <f t="shared" si="0"/>
        <v>26.684577500000003</v>
      </c>
      <c r="AA9" s="1251">
        <f>SUM(B9:Z9)</f>
        <v>576.76440500000012</v>
      </c>
    </row>
    <row r="10" spans="1:27" ht="43.8" thickBot="1" x14ac:dyDescent="0.35">
      <c r="A10" s="1393" t="s">
        <v>1171</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328B-80F5-4FC7-A599-D20B40FF5C60}">
  <dimension ref="A1:AA14"/>
  <sheetViews>
    <sheetView workbookViewId="0">
      <selection activeCell="E14" sqref="E14"/>
    </sheetView>
  </sheetViews>
  <sheetFormatPr baseColWidth="10" defaultColWidth="11.5546875" defaultRowHeight="14.4" x14ac:dyDescent="0.3"/>
  <cols>
    <col min="1" max="1" width="43.6640625" customWidth="1"/>
  </cols>
  <sheetData>
    <row r="1" spans="1:27" ht="29.4" thickBot="1" x14ac:dyDescent="0.35">
      <c r="A1" s="1337" t="s">
        <v>1136</v>
      </c>
      <c r="B1" s="1336">
        <v>1</v>
      </c>
      <c r="C1" s="1336">
        <v>2</v>
      </c>
      <c r="D1" s="1336">
        <v>3</v>
      </c>
      <c r="E1" s="1336">
        <v>4</v>
      </c>
      <c r="F1" s="1336">
        <v>5</v>
      </c>
      <c r="G1" s="1336">
        <v>6</v>
      </c>
      <c r="H1" s="1336">
        <v>7</v>
      </c>
      <c r="I1" s="1336">
        <v>8</v>
      </c>
      <c r="J1" s="1336">
        <v>9</v>
      </c>
      <c r="K1" s="1336">
        <v>10</v>
      </c>
      <c r="L1" s="1336">
        <v>11</v>
      </c>
      <c r="M1" s="1336">
        <v>12</v>
      </c>
      <c r="N1" s="1336">
        <v>13</v>
      </c>
      <c r="O1" s="1336">
        <v>14</v>
      </c>
      <c r="P1" s="1336">
        <v>15</v>
      </c>
      <c r="Q1" s="1336">
        <v>16</v>
      </c>
      <c r="R1" s="1336">
        <v>17</v>
      </c>
      <c r="S1" s="1336">
        <v>18</v>
      </c>
      <c r="T1" s="1336">
        <v>19</v>
      </c>
      <c r="U1" s="1336">
        <v>20</v>
      </c>
      <c r="V1" s="1336">
        <v>21</v>
      </c>
      <c r="W1" s="1336">
        <v>22</v>
      </c>
      <c r="X1" s="1336">
        <v>23</v>
      </c>
      <c r="Y1" s="1336">
        <v>24</v>
      </c>
      <c r="Z1" s="1336">
        <v>25</v>
      </c>
      <c r="AA1" s="1335" t="s">
        <v>1164</v>
      </c>
    </row>
    <row r="2" spans="1:27" ht="15" thickBot="1" x14ac:dyDescent="0.35">
      <c r="A2" s="65" t="s">
        <v>568</v>
      </c>
    </row>
    <row r="3" spans="1:27" ht="15" thickBot="1" x14ac:dyDescent="0.35">
      <c r="A3" s="1401" t="s">
        <v>1180</v>
      </c>
      <c r="B3" s="1400">
        <f>'Ingresos Socios (2)'!B9</f>
        <v>42.987052500000019</v>
      </c>
      <c r="C3" s="1399">
        <f>'Ingresos Socios (2)'!C9</f>
        <v>25.225935000000007</v>
      </c>
      <c r="D3" s="1399">
        <f>'Ingresos Socios (2)'!D9</f>
        <v>10.811114999999999</v>
      </c>
      <c r="E3" s="1399">
        <f>'Ingresos Socios (2)'!E9</f>
        <v>44.788904999999986</v>
      </c>
      <c r="F3" s="1399">
        <f>'Ingresos Socios (2)'!F9</f>
        <v>9.3524725000000029</v>
      </c>
      <c r="G3" s="1399">
        <f>'Ingresos Socios (2)'!G9</f>
        <v>22.823465000000006</v>
      </c>
      <c r="H3" s="1399">
        <f>'Ingresos Socios (2)'!H9</f>
        <v>39.554952500000006</v>
      </c>
      <c r="I3" s="1399">
        <f>'Ingresos Socios (2)'!I9</f>
        <v>16.7314875</v>
      </c>
      <c r="J3" s="1399">
        <f>'Ingresos Socios (2)'!J9</f>
        <v>12.183955000000001</v>
      </c>
      <c r="K3" s="1399">
        <f>'Ingresos Socios (2)'!K9</f>
        <v>12.012349999999998</v>
      </c>
      <c r="L3" s="1399">
        <f>'Ingresos Socios (2)'!L9</f>
        <v>22.651860000000006</v>
      </c>
      <c r="M3" s="1399">
        <f>'Ingresos Socios (2)'!M9</f>
        <v>35.951247500000008</v>
      </c>
      <c r="N3" s="1399">
        <f>'Ingresos Socios (2)'!N9</f>
        <v>38.096309999999995</v>
      </c>
      <c r="O3" s="1399">
        <f>'Ingresos Socios (2)'!O9</f>
        <v>10.210497500000004</v>
      </c>
      <c r="P3" s="1399">
        <f>'Ingresos Socios (2)'!P9</f>
        <v>36.809272500000006</v>
      </c>
      <c r="Q3" s="1399">
        <f>'Ingresos Socios (2)'!Q9</f>
        <v>7.5506199999999994</v>
      </c>
      <c r="R3" s="1399">
        <f>'Ingresos Socios (2)'!R9</f>
        <v>30.288282500000008</v>
      </c>
      <c r="S3" s="1399">
        <f>'Ingresos Socios (2)'!S9</f>
        <v>16.216672500000008</v>
      </c>
      <c r="T3" s="1399">
        <f>'Ingresos Socios (2)'!T9</f>
        <v>21.021612500000003</v>
      </c>
      <c r="U3" s="1399">
        <f>'Ingresos Socios (2)'!U9</f>
        <v>36.380260000000007</v>
      </c>
      <c r="V3" s="1399">
        <f>'Ingresos Socios (2)'!V9</f>
        <v>16.817290000000014</v>
      </c>
      <c r="W3" s="1399">
        <f>'Ingresos Socios (2)'!W9</f>
        <v>16.388277500000008</v>
      </c>
      <c r="X3" s="1399">
        <f>'Ingresos Socios (2)'!X9</f>
        <v>15.787660000000013</v>
      </c>
      <c r="Y3" s="1399">
        <f>'Ingresos Socios (2)'!Y9</f>
        <v>9.4382750000000009</v>
      </c>
      <c r="Z3" s="1154">
        <f>'Ingresos Socios (2)'!Z9</f>
        <v>26.684577500000003</v>
      </c>
      <c r="AA3" s="1256">
        <f>SUM(B3:Z3)</f>
        <v>576.76440500000012</v>
      </c>
    </row>
    <row r="4" spans="1:27" ht="29.4" thickBot="1" x14ac:dyDescent="0.35">
      <c r="A4" s="645" t="s">
        <v>1171</v>
      </c>
    </row>
    <row r="5" spans="1:27" ht="15" thickBot="1" x14ac:dyDescent="0.35"/>
    <row r="6" spans="1:27" x14ac:dyDescent="0.3">
      <c r="A6" s="804" t="s">
        <v>1170</v>
      </c>
      <c r="B6" s="1358">
        <f>('General Real Data (Obs.)'!$E$10/'General Real Data (Obs.)'!$E$222)/12</f>
        <v>0</v>
      </c>
      <c r="C6" s="1358">
        <f>('General Real Data (Obs.)'!$E$10/'General Real Data (Obs.)'!$E$222)/12</f>
        <v>0</v>
      </c>
      <c r="D6" s="1358">
        <f>('General Real Data (Obs.)'!$E$10/'General Real Data (Obs.)'!$E$222)/12</f>
        <v>0</v>
      </c>
      <c r="E6" s="1358">
        <f>('General Real Data (Obs.)'!$E$10/'General Real Data (Obs.)'!$E$222)/12</f>
        <v>0</v>
      </c>
      <c r="F6" s="1358">
        <f>('General Real Data (Obs.)'!$E$10/'General Real Data (Obs.)'!$E$222)/12</f>
        <v>0</v>
      </c>
      <c r="G6" s="1358">
        <f>('General Real Data (Obs.)'!$E$10/'General Real Data (Obs.)'!$E$222)/12</f>
        <v>0</v>
      </c>
      <c r="H6" s="1358">
        <f>('General Real Data (Obs.)'!$E$10/'General Real Data (Obs.)'!$E$222)/12</f>
        <v>0</v>
      </c>
      <c r="I6" s="1358">
        <f>('General Real Data (Obs.)'!$E$10/'General Real Data (Obs.)'!$E$222)/12</f>
        <v>0</v>
      </c>
      <c r="J6" s="1358">
        <f>('General Real Data (Obs.)'!$E$10/'General Real Data (Obs.)'!$E$222)/12</f>
        <v>0</v>
      </c>
      <c r="K6" s="1358">
        <f>('General Real Data (Obs.)'!$E$10/'General Real Data (Obs.)'!$E$222)/12</f>
        <v>0</v>
      </c>
      <c r="L6" s="1358">
        <f>('General Real Data (Obs.)'!$E$10/'General Real Data (Obs.)'!$E$222)/12</f>
        <v>0</v>
      </c>
      <c r="M6" s="1358">
        <f>('General Real Data (Obs.)'!$E$10/'General Real Data (Obs.)'!$E$222)/12</f>
        <v>0</v>
      </c>
      <c r="N6" s="1358">
        <f>('General Real Data (Obs.)'!$E$10/'General Real Data (Obs.)'!$E$222)/12</f>
        <v>0</v>
      </c>
      <c r="O6" s="1358">
        <f>('General Real Data (Obs.)'!$E$10/'General Real Data (Obs.)'!$E$222)/12</f>
        <v>0</v>
      </c>
      <c r="P6" s="1358">
        <f>('General Real Data (Obs.)'!$E$10/'General Real Data (Obs.)'!$E$222)/12</f>
        <v>0</v>
      </c>
      <c r="Q6" s="1358">
        <f>('General Real Data (Obs.)'!$E$10/'General Real Data (Obs.)'!$E$222)/12</f>
        <v>0</v>
      </c>
      <c r="R6" s="1358">
        <f>('General Real Data (Obs.)'!$E$10/'General Real Data (Obs.)'!$E$222)/12</f>
        <v>0</v>
      </c>
      <c r="S6" s="1358">
        <f>('General Real Data (Obs.)'!$E$10/'General Real Data (Obs.)'!$E$222)/12</f>
        <v>0</v>
      </c>
      <c r="T6" s="1358">
        <f>('General Real Data (Obs.)'!$E$10/'General Real Data (Obs.)'!$E$222)/12</f>
        <v>0</v>
      </c>
      <c r="U6" s="1358">
        <f>('General Real Data (Obs.)'!$E$10/'General Real Data (Obs.)'!$E$222)/12</f>
        <v>0</v>
      </c>
      <c r="V6" s="1358">
        <f>('General Real Data (Obs.)'!$E$10/'General Real Data (Obs.)'!$E$222)/12</f>
        <v>0</v>
      </c>
      <c r="W6" s="1358">
        <f>('General Real Data (Obs.)'!$E$10/'General Real Data (Obs.)'!$E$222)/12</f>
        <v>0</v>
      </c>
      <c r="X6" s="1358">
        <f>('General Real Data (Obs.)'!$E$10/'General Real Data (Obs.)'!$E$222)/12</f>
        <v>0</v>
      </c>
      <c r="Y6" s="896">
        <f>('General Real Data (Obs.)'!$E$10/'General Real Data (Obs.)'!$E$222)/12</f>
        <v>0</v>
      </c>
      <c r="Z6" s="1050">
        <f>('General Real Data (Obs.)'!$E$10/'General Real Data (Obs.)'!$E$222)/12</f>
        <v>0</v>
      </c>
      <c r="AA6" s="1357">
        <f>SUM(B6:Z6)</f>
        <v>0</v>
      </c>
    </row>
    <row r="7" spans="1:27" x14ac:dyDescent="0.3">
      <c r="A7" s="797" t="s">
        <v>1169</v>
      </c>
      <c r="B7" s="1099">
        <f>('General Real Data (Obs.)'!$E$11/'General Real Data (Obs.)'!$E$222)/12</f>
        <v>8.2348999999999997</v>
      </c>
      <c r="C7" s="1099">
        <f>('General Real Data (Obs.)'!$E$11/'General Real Data (Obs.)'!$E$222)/12</f>
        <v>8.2348999999999997</v>
      </c>
      <c r="D7" s="1099">
        <f>('General Real Data (Obs.)'!$E$11/'General Real Data (Obs.)'!$E$222)/12</f>
        <v>8.2348999999999997</v>
      </c>
      <c r="E7" s="1099">
        <f>('General Real Data (Obs.)'!$E$11/'General Real Data (Obs.)'!$E$222)/12</f>
        <v>8.2348999999999997</v>
      </c>
      <c r="F7" s="1099">
        <f>('General Real Data (Obs.)'!$E$11/'General Real Data (Obs.)'!$E$222)/12</f>
        <v>8.2348999999999997</v>
      </c>
      <c r="G7" s="1099">
        <f>('General Real Data (Obs.)'!$E$11/'General Real Data (Obs.)'!$E$222)/12</f>
        <v>8.2348999999999997</v>
      </c>
      <c r="H7" s="1099">
        <f>('General Real Data (Obs.)'!$E$11/'General Real Data (Obs.)'!$E$222)/12</f>
        <v>8.2348999999999997</v>
      </c>
      <c r="I7" s="1099">
        <f>('General Real Data (Obs.)'!$E$11/'General Real Data (Obs.)'!$E$222)/12</f>
        <v>8.2348999999999997</v>
      </c>
      <c r="J7" s="1099">
        <f>('General Real Data (Obs.)'!$E$11/'General Real Data (Obs.)'!$E$222)/12</f>
        <v>8.2348999999999997</v>
      </c>
      <c r="K7" s="1099">
        <f>('General Real Data (Obs.)'!$E$11/'General Real Data (Obs.)'!$E$222)/12</f>
        <v>8.2348999999999997</v>
      </c>
      <c r="L7" s="1099">
        <f>('General Real Data (Obs.)'!$E$11/'General Real Data (Obs.)'!$E$222)/12</f>
        <v>8.2348999999999997</v>
      </c>
      <c r="M7" s="1099">
        <f>('General Real Data (Obs.)'!$E$11/'General Real Data (Obs.)'!$E$222)/12</f>
        <v>8.2348999999999997</v>
      </c>
      <c r="N7" s="1099">
        <f>('General Real Data (Obs.)'!$E$11/'General Real Data (Obs.)'!$E$222)/12</f>
        <v>8.2348999999999997</v>
      </c>
      <c r="O7" s="1099">
        <f>('General Real Data (Obs.)'!$E$11/'General Real Data (Obs.)'!$E$222)/12</f>
        <v>8.2348999999999997</v>
      </c>
      <c r="P7" s="1099">
        <f>('General Real Data (Obs.)'!$E$11/'General Real Data (Obs.)'!$E$222)/12</f>
        <v>8.2348999999999997</v>
      </c>
      <c r="Q7" s="1099">
        <f>('General Real Data (Obs.)'!$E$11/'General Real Data (Obs.)'!$E$222)/12</f>
        <v>8.2348999999999997</v>
      </c>
      <c r="R7" s="1099">
        <f>('General Real Data (Obs.)'!$E$11/'General Real Data (Obs.)'!$E$222)/12</f>
        <v>8.2348999999999997</v>
      </c>
      <c r="S7" s="1099">
        <f>('General Real Data (Obs.)'!$E$11/'General Real Data (Obs.)'!$E$222)/12</f>
        <v>8.2348999999999997</v>
      </c>
      <c r="T7" s="1099">
        <f>('General Real Data (Obs.)'!$E$11/'General Real Data (Obs.)'!$E$222)/12</f>
        <v>8.2348999999999997</v>
      </c>
      <c r="U7" s="1099">
        <f>('General Real Data (Obs.)'!$E$11/'General Real Data (Obs.)'!$E$222)/12</f>
        <v>8.2348999999999997</v>
      </c>
      <c r="V7" s="1099">
        <f>('General Real Data (Obs.)'!$E$11/'General Real Data (Obs.)'!$E$222)/12</f>
        <v>8.2348999999999997</v>
      </c>
      <c r="W7" s="1099">
        <f>('General Real Data (Obs.)'!$E$11/'General Real Data (Obs.)'!$E$222)/12</f>
        <v>8.2348999999999997</v>
      </c>
      <c r="X7" s="1099">
        <f>('General Real Data (Obs.)'!$E$11/'General Real Data (Obs.)'!$E$222)/12</f>
        <v>8.2348999999999997</v>
      </c>
      <c r="Y7" s="1356">
        <f>('General Real Data (Obs.)'!$E$11/'General Real Data (Obs.)'!$E$222)/12</f>
        <v>8.2348999999999997</v>
      </c>
      <c r="Z7" s="1046">
        <f>('General Real Data (Obs.)'!$E$11/'General Real Data (Obs.)'!$E$222)/12</f>
        <v>8.2348999999999997</v>
      </c>
      <c r="AA7" s="1355">
        <f>SUM(B7:Z7)</f>
        <v>205.87250000000006</v>
      </c>
    </row>
    <row r="8" spans="1:27" s="10" customFormat="1" ht="29.4" thickBot="1" x14ac:dyDescent="0.35">
      <c r="A8" s="1143" t="s">
        <v>1168</v>
      </c>
      <c r="B8" s="1354">
        <f>('General Real Data (Obs.)'!$E$12/'General Real Data (Obs.)'!$E$222)/12</f>
        <v>0</v>
      </c>
      <c r="C8" s="1354">
        <f>('General Real Data (Obs.)'!$E$12/'General Real Data (Obs.)'!$E$222)/12</f>
        <v>0</v>
      </c>
      <c r="D8" s="1354">
        <f>('General Real Data (Obs.)'!$E$12/'General Real Data (Obs.)'!$E$222)/12</f>
        <v>0</v>
      </c>
      <c r="E8" s="1354">
        <f>('General Real Data (Obs.)'!$E$12/'General Real Data (Obs.)'!$E$222)/12</f>
        <v>0</v>
      </c>
      <c r="F8" s="1354">
        <f>('General Real Data (Obs.)'!$E$12/'General Real Data (Obs.)'!$E$222)/12</f>
        <v>0</v>
      </c>
      <c r="G8" s="1354">
        <f>('General Real Data (Obs.)'!$E$12/'General Real Data (Obs.)'!$E$222)/12</f>
        <v>0</v>
      </c>
      <c r="H8" s="1354">
        <f>('General Real Data (Obs.)'!$E$12/'General Real Data (Obs.)'!$E$222)/12</f>
        <v>0</v>
      </c>
      <c r="I8" s="1354">
        <f>('General Real Data (Obs.)'!$E$12/'General Real Data (Obs.)'!$E$222)/12</f>
        <v>0</v>
      </c>
      <c r="J8" s="1354">
        <f>('General Real Data (Obs.)'!$E$12/'General Real Data (Obs.)'!$E$222)/12</f>
        <v>0</v>
      </c>
      <c r="K8" s="1354">
        <f>('General Real Data (Obs.)'!$E$12/'General Real Data (Obs.)'!$E$222)/12</f>
        <v>0</v>
      </c>
      <c r="L8" s="1354">
        <f>('General Real Data (Obs.)'!$E$12/'General Real Data (Obs.)'!$E$222)/12</f>
        <v>0</v>
      </c>
      <c r="M8" s="1354">
        <f>('General Real Data (Obs.)'!$E$12/'General Real Data (Obs.)'!$E$222)/12</f>
        <v>0</v>
      </c>
      <c r="N8" s="1354">
        <f>('General Real Data (Obs.)'!$E$12/'General Real Data (Obs.)'!$E$222)/12</f>
        <v>0</v>
      </c>
      <c r="O8" s="1354">
        <f>('General Real Data (Obs.)'!$E$12/'General Real Data (Obs.)'!$E$222)/12</f>
        <v>0</v>
      </c>
      <c r="P8" s="1354">
        <f>('General Real Data (Obs.)'!$E$12/'General Real Data (Obs.)'!$E$222)/12</f>
        <v>0</v>
      </c>
      <c r="Q8" s="1354">
        <f>('General Real Data (Obs.)'!$E$12/'General Real Data (Obs.)'!$E$222)/12</f>
        <v>0</v>
      </c>
      <c r="R8" s="1354">
        <f>('General Real Data (Obs.)'!$E$12/'General Real Data (Obs.)'!$E$222)/12</f>
        <v>0</v>
      </c>
      <c r="S8" s="1354">
        <f>('General Real Data (Obs.)'!$E$12/'General Real Data (Obs.)'!$E$222)/12</f>
        <v>0</v>
      </c>
      <c r="T8" s="1354">
        <f>('General Real Data (Obs.)'!$E$12/'General Real Data (Obs.)'!$E$222)/12</f>
        <v>0</v>
      </c>
      <c r="U8" s="1354">
        <f>('General Real Data (Obs.)'!$E$12/'General Real Data (Obs.)'!$E$222)/12</f>
        <v>0</v>
      </c>
      <c r="V8" s="1354">
        <f>('General Real Data (Obs.)'!$E$12/'General Real Data (Obs.)'!$E$222)/12</f>
        <v>0</v>
      </c>
      <c r="W8" s="1354">
        <f>('General Real Data (Obs.)'!$E$12/'General Real Data (Obs.)'!$E$222)/12</f>
        <v>0</v>
      </c>
      <c r="X8" s="1354">
        <f>('General Real Data (Obs.)'!$E$12/'General Real Data (Obs.)'!$E$222)/12</f>
        <v>0</v>
      </c>
      <c r="Y8" s="1353">
        <f>('General Real Data (Obs.)'!$E$12/'General Real Data (Obs.)'!$E$222)/12</f>
        <v>0</v>
      </c>
      <c r="Z8" s="1352">
        <f>('General Real Data (Obs.)'!$E$12/'General Real Data (Obs.)'!$E$222)/12</f>
        <v>0</v>
      </c>
      <c r="AA8" s="1351">
        <f>SUM(B8:Z8)</f>
        <v>0</v>
      </c>
    </row>
    <row r="9" spans="1:27" s="10" customFormat="1" ht="29.4" thickBot="1" x14ac:dyDescent="0.35">
      <c r="A9" s="1350" t="s">
        <v>1167</v>
      </c>
      <c r="B9" s="1349">
        <f>SUM(B6:B8)</f>
        <v>8.2348999999999997</v>
      </c>
      <c r="C9" s="1348">
        <f t="shared" ref="C9:Z9" si="0">SUM(C6:C8)</f>
        <v>8.2348999999999997</v>
      </c>
      <c r="D9" s="1348">
        <f t="shared" si="0"/>
        <v>8.2348999999999997</v>
      </c>
      <c r="E9" s="1348">
        <f t="shared" si="0"/>
        <v>8.2348999999999997</v>
      </c>
      <c r="F9" s="1348">
        <f t="shared" si="0"/>
        <v>8.2348999999999997</v>
      </c>
      <c r="G9" s="1348">
        <f t="shared" si="0"/>
        <v>8.2348999999999997</v>
      </c>
      <c r="H9" s="1348">
        <f t="shared" si="0"/>
        <v>8.2348999999999997</v>
      </c>
      <c r="I9" s="1348">
        <f t="shared" si="0"/>
        <v>8.2348999999999997</v>
      </c>
      <c r="J9" s="1348">
        <f t="shared" si="0"/>
        <v>8.2348999999999997</v>
      </c>
      <c r="K9" s="1348">
        <f t="shared" si="0"/>
        <v>8.2348999999999997</v>
      </c>
      <c r="L9" s="1348">
        <f t="shared" si="0"/>
        <v>8.2348999999999997</v>
      </c>
      <c r="M9" s="1348">
        <f t="shared" si="0"/>
        <v>8.2348999999999997</v>
      </c>
      <c r="N9" s="1348">
        <f t="shared" si="0"/>
        <v>8.2348999999999997</v>
      </c>
      <c r="O9" s="1348">
        <f t="shared" si="0"/>
        <v>8.2348999999999997</v>
      </c>
      <c r="P9" s="1348">
        <f t="shared" si="0"/>
        <v>8.2348999999999997</v>
      </c>
      <c r="Q9" s="1348">
        <f t="shared" si="0"/>
        <v>8.2348999999999997</v>
      </c>
      <c r="R9" s="1348">
        <f t="shared" si="0"/>
        <v>8.2348999999999997</v>
      </c>
      <c r="S9" s="1348">
        <f t="shared" si="0"/>
        <v>8.2348999999999997</v>
      </c>
      <c r="T9" s="1348">
        <f t="shared" si="0"/>
        <v>8.2348999999999997</v>
      </c>
      <c r="U9" s="1348">
        <f t="shared" si="0"/>
        <v>8.2348999999999997</v>
      </c>
      <c r="V9" s="1348">
        <f t="shared" si="0"/>
        <v>8.2348999999999997</v>
      </c>
      <c r="W9" s="1348">
        <f t="shared" si="0"/>
        <v>8.2348999999999997</v>
      </c>
      <c r="X9" s="1348">
        <f t="shared" si="0"/>
        <v>8.2348999999999997</v>
      </c>
      <c r="Y9" s="1347">
        <f t="shared" si="0"/>
        <v>8.2348999999999997</v>
      </c>
      <c r="Z9" s="1346">
        <f t="shared" si="0"/>
        <v>8.2348999999999997</v>
      </c>
      <c r="AA9" s="1345">
        <f>SUM(B9:Z9)</f>
        <v>205.87250000000006</v>
      </c>
    </row>
    <row r="11" spans="1:27" ht="15" thickBot="1" x14ac:dyDescent="0.35"/>
    <row r="12" spans="1:27" ht="29.4" thickBot="1" x14ac:dyDescent="0.35">
      <c r="A12" s="1344" t="s">
        <v>1166</v>
      </c>
      <c r="B12" s="1343">
        <f t="shared" ref="B12:Z12" si="1">B3-B9</f>
        <v>34.752152500000022</v>
      </c>
      <c r="C12" s="1107">
        <f t="shared" si="1"/>
        <v>16.991035000000007</v>
      </c>
      <c r="D12" s="1107">
        <f t="shared" si="1"/>
        <v>2.5762149999999995</v>
      </c>
      <c r="E12" s="1107">
        <f t="shared" si="1"/>
        <v>36.554004999999989</v>
      </c>
      <c r="F12" s="1107">
        <f t="shared" si="1"/>
        <v>1.1175725000000032</v>
      </c>
      <c r="G12" s="1107">
        <f t="shared" si="1"/>
        <v>14.588565000000006</v>
      </c>
      <c r="H12" s="1107">
        <f t="shared" si="1"/>
        <v>31.320052500000006</v>
      </c>
      <c r="I12" s="1107">
        <f t="shared" si="1"/>
        <v>8.4965875000000004</v>
      </c>
      <c r="J12" s="1107">
        <f t="shared" si="1"/>
        <v>3.9490550000000013</v>
      </c>
      <c r="K12" s="1107">
        <f t="shared" si="1"/>
        <v>3.7774499999999982</v>
      </c>
      <c r="L12" s="1107">
        <f t="shared" si="1"/>
        <v>14.416960000000007</v>
      </c>
      <c r="M12" s="1107">
        <f t="shared" si="1"/>
        <v>27.716347500000008</v>
      </c>
      <c r="N12" s="1107">
        <f t="shared" si="1"/>
        <v>29.861409999999996</v>
      </c>
      <c r="O12" s="1107">
        <f t="shared" si="1"/>
        <v>1.9755975000000046</v>
      </c>
      <c r="P12" s="1107">
        <f t="shared" si="1"/>
        <v>28.574372500000006</v>
      </c>
      <c r="Q12" s="1107">
        <f>Q3-Q9</f>
        <v>-0.68428000000000022</v>
      </c>
      <c r="R12" s="1107">
        <f t="shared" si="1"/>
        <v>22.053382500000009</v>
      </c>
      <c r="S12" s="1107">
        <f t="shared" si="1"/>
        <v>7.9817725000000088</v>
      </c>
      <c r="T12" s="1107">
        <f t="shared" si="1"/>
        <v>12.786712500000004</v>
      </c>
      <c r="U12" s="1107">
        <f t="shared" si="1"/>
        <v>28.145360000000007</v>
      </c>
      <c r="V12" s="1107">
        <f t="shared" si="1"/>
        <v>8.5823900000000144</v>
      </c>
      <c r="W12" s="1107">
        <f t="shared" si="1"/>
        <v>8.1533775000000084</v>
      </c>
      <c r="X12" s="1107">
        <f t="shared" si="1"/>
        <v>7.5527600000000135</v>
      </c>
      <c r="Y12" s="1107">
        <f t="shared" si="1"/>
        <v>1.2033750000000012</v>
      </c>
      <c r="Z12" s="1123">
        <f t="shared" si="1"/>
        <v>18.449677500000004</v>
      </c>
      <c r="AA12" s="1342">
        <f>SUM(B12:Z12)</f>
        <v>370.89190500000018</v>
      </c>
    </row>
    <row r="13" spans="1:27" ht="15" thickBot="1" x14ac:dyDescent="0.35"/>
    <row r="14" spans="1:27" ht="43.8" thickBot="1" x14ac:dyDescent="0.35">
      <c r="A14" s="1398" t="s">
        <v>1165</v>
      </c>
      <c r="B14" s="1341">
        <f>B12/'Factura Socios Sen CE (2)'!B17</f>
        <v>0.43878839376472378</v>
      </c>
      <c r="C14" s="1340">
        <f>C12/'Factura Socios Sen CE (2)'!C17</f>
        <v>0.31448561555663768</v>
      </c>
      <c r="D14" s="1340">
        <f>D12/'Factura Socios Sen CE (2)'!D17</f>
        <v>7.6676763313178492E-2</v>
      </c>
      <c r="E14" s="1340">
        <f>E12/'Factura Socios Sen CE (2)'!E17</f>
        <v>0.44712213549743801</v>
      </c>
      <c r="F14" s="1340">
        <f>F12/'Factura Socios Sen CE (2)'!F17</f>
        <v>3.5443504715393176E-2</v>
      </c>
      <c r="G14" s="1340">
        <f>G12/'Factura Socios Sen CE (2)'!G17</f>
        <v>0.28818011698187357</v>
      </c>
      <c r="H14" s="1340">
        <f>H12/'Factura Socios Sen CE (2)'!H17</f>
        <v>0.42133057330196105</v>
      </c>
      <c r="I14" s="1340">
        <f>I12/'Factura Socios Sen CE (2)'!I17</f>
        <v>0.20235209906662113</v>
      </c>
      <c r="J14" s="1340">
        <f>J12/'Factura Socios Sen CE (2)'!J17</f>
        <v>0.11110309415608258</v>
      </c>
      <c r="K14" s="1340">
        <f>K12/'Factura Socios Sen CE (2)'!K17</f>
        <v>0.10700733957441133</v>
      </c>
      <c r="L14" s="1340">
        <f>L12/'Factura Socios Sen CE (2)'!L17</f>
        <v>0.28616509164412235</v>
      </c>
      <c r="M14" s="1340">
        <f>M12/'Factura Socios Sen CE (2)'!M17</f>
        <v>0.40035952836700572</v>
      </c>
      <c r="N14" s="1340">
        <f>N12/'Factura Socios Sen CE (2)'!N17</f>
        <v>0.41319936906179922</v>
      </c>
      <c r="O14" s="1340">
        <f>O12/'Factura Socios Sen CE (2)'!O17</f>
        <v>6.0328847732040787E-2</v>
      </c>
      <c r="P14" s="1340">
        <f>P12/'Factura Socios Sen CE (2)'!P17</f>
        <v>0.40562845312645252</v>
      </c>
      <c r="Q14" s="1340">
        <f>Q12/'Factura Socios Sen CE (2)'!Q17</f>
        <v>-2.361427338820794E-2</v>
      </c>
      <c r="R14" s="1340">
        <f>R12/'Factura Socios Sen CE (2)'!R17</f>
        <v>0.36033340425375165</v>
      </c>
      <c r="S14" s="1340">
        <f>S12/'Factura Socios Sen CE (2)'!S17</f>
        <v>0.1934529876850602</v>
      </c>
      <c r="T14" s="1340">
        <f>T12/'Factura Socios Sen CE (2)'!T17</f>
        <v>0.2660053850799472</v>
      </c>
      <c r="U14" s="1340">
        <f>U12/'Factura Socios Sen CE (2)'!U17</f>
        <v>0.40301692739301676</v>
      </c>
      <c r="V14" s="1340">
        <f>V12/'Factura Socios Sen CE (2)'!V17</f>
        <v>0.20380530288379312</v>
      </c>
      <c r="W14" s="1340">
        <f>W12/'Factura Socios Sen CE (2)'!W17</f>
        <v>0.19645412460076575</v>
      </c>
      <c r="X14" s="1340">
        <f>X12/'Factura Socios Sen CE (2)'!X17</f>
        <v>0.18579303712838191</v>
      </c>
      <c r="Y14" s="1340">
        <f>Y12/'Factura Socios Sen CE (2)'!Y17</f>
        <v>3.8018084250435603E-2</v>
      </c>
      <c r="Z14" s="1339">
        <f>Z12/'Factura Socios Sen CE (2)'!Z17</f>
        <v>0.32889878453869081</v>
      </c>
      <c r="AA14" s="1338">
        <f>AA12/'Factura Socios Sen CE (2)'!AA17</f>
        <v>0.29104797254691789</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15BF-724B-42D4-BABA-FA1337A54D20}">
  <sheetPr>
    <tabColor rgb="FF7030A0"/>
  </sheetPr>
  <dimension ref="A1:AH101"/>
  <sheetViews>
    <sheetView topLeftCell="C14" zoomScaleNormal="100" workbookViewId="0">
      <selection activeCell="C5" sqref="C5:D42"/>
    </sheetView>
  </sheetViews>
  <sheetFormatPr baseColWidth="10" defaultColWidth="11.44140625" defaultRowHeight="14.4" x14ac:dyDescent="0.3"/>
  <cols>
    <col min="1" max="1" width="14.44140625" hidden="1" customWidth="1"/>
    <col min="2" max="2" width="11.44140625" hidden="1" customWidth="1"/>
    <col min="3" max="3" width="61.109375" customWidth="1"/>
    <col min="4" max="4" width="13" bestFit="1" customWidth="1"/>
    <col min="5" max="5" width="18" customWidth="1"/>
    <col min="6" max="7" width="14.44140625" bestFit="1" customWidth="1"/>
    <col min="8" max="12" width="13" bestFit="1" customWidth="1"/>
    <col min="13" max="25" width="12.5546875" bestFit="1" customWidth="1"/>
    <col min="26" max="30" width="14.44140625" bestFit="1" customWidth="1"/>
    <col min="31" max="31" width="23.44140625" bestFit="1" customWidth="1"/>
    <col min="32" max="32" width="15.44140625" bestFit="1" customWidth="1"/>
  </cols>
  <sheetData>
    <row r="1" spans="1:32" ht="15" thickBot="1" x14ac:dyDescent="0.35"/>
    <row r="2" spans="1:32" ht="15.6" thickTop="1" thickBot="1" x14ac:dyDescent="0.35">
      <c r="C2" s="13" t="str">
        <f>VLOOKUP("CONTA DE EXPLOTACIÓN",tabIdiomas26[],MATCH('Indiv. Invoices Comparison'!$J$2,tabIdiomas26[#Headers]),FALSE)</f>
        <v>Operating Account</v>
      </c>
      <c r="F2" s="229" t="str">
        <f>VLOOKUP("Lingua",tabIdiomas26[],MATCH($G$2,tabIdiomas26[#Headers]),FALSE)</f>
        <v>Language</v>
      </c>
      <c r="G2" s="1936" t="str">
        <f>'General Real Data (Obs.)'!$G$2</f>
        <v>English</v>
      </c>
    </row>
    <row r="3" spans="1:32" ht="15.6" thickTop="1" thickBot="1" x14ac:dyDescent="0.35">
      <c r="B3" s="145"/>
    </row>
    <row r="4" spans="1:32" s="747" customFormat="1" ht="15" thickTop="1" x14ac:dyDescent="0.3">
      <c r="A4" s="731"/>
      <c r="B4" s="701"/>
      <c r="C4" s="1419"/>
      <c r="D4" s="1692">
        <f>'General Real Data (Obs.)'!$E$4</f>
        <v>1</v>
      </c>
    </row>
    <row r="5" spans="1:32" s="747" customFormat="1" ht="29.4" thickBot="1" x14ac:dyDescent="0.35">
      <c r="B5" s="749" t="s">
        <v>916</v>
      </c>
      <c r="C5" s="1441" t="str">
        <f>VLOOKUP("INGRESOS",tabIdiomas26[],MATCH('Indiv. Invoices Comparison'!$J$2,tabIdiomas26[#Headers]),FALSE)</f>
        <v>INCOME</v>
      </c>
      <c r="D5" s="1932">
        <f>'General Real Data (Obs.)'!$E$5</f>
        <v>2025</v>
      </c>
      <c r="AE5" s="390"/>
    </row>
    <row r="6" spans="1:32" ht="15" hidden="1" thickTop="1" x14ac:dyDescent="0.3">
      <c r="A6" s="682"/>
      <c r="B6">
        <v>7050010</v>
      </c>
      <c r="C6" s="166" t="s">
        <v>913</v>
      </c>
      <c r="D6" s="713">
        <f>'General Real Data (Obs.)'!E6</f>
        <v>4466</v>
      </c>
      <c r="E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row>
    <row r="7" spans="1:32" s="10" customFormat="1" ht="28.8" hidden="1" x14ac:dyDescent="0.3">
      <c r="A7" s="746"/>
      <c r="B7" s="10">
        <v>7050020</v>
      </c>
      <c r="C7" s="729" t="s">
        <v>912</v>
      </c>
      <c r="D7" s="713">
        <f>'General Real Data (Obs.)'!E7</f>
        <v>2233</v>
      </c>
      <c r="E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row>
    <row r="8" spans="1:32" s="10" customFormat="1" hidden="1" x14ac:dyDescent="0.3">
      <c r="A8" s="746"/>
      <c r="B8" s="10">
        <v>7050030</v>
      </c>
      <c r="C8" s="729" t="s">
        <v>911</v>
      </c>
      <c r="D8" s="713">
        <f>'General Real Data (Obs.)'!E8</f>
        <v>0</v>
      </c>
      <c r="E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row>
    <row r="9" spans="1:32" s="63" customFormat="1" ht="15" thickTop="1" x14ac:dyDescent="0.3">
      <c r="C9" s="1440" t="str">
        <f>VLOOKUP("Ingresos Totais pola Enerxía Producida",tabIdiomas26[],MATCH('Indiv. Invoices Comparison'!$J$2,tabIdiomas26[#Headers]),FALSE)</f>
        <v>Total Income from Energy Produced</v>
      </c>
      <c r="D9" s="1740">
        <f>SUM(D6:D8)</f>
        <v>6699</v>
      </c>
      <c r="E9" s="58"/>
      <c r="G9" s="58"/>
      <c r="H9" s="58"/>
      <c r="I9" s="58"/>
      <c r="J9" s="58"/>
      <c r="K9" s="58"/>
      <c r="L9" s="58"/>
      <c r="M9" s="58"/>
      <c r="N9" s="58"/>
      <c r="O9" s="58"/>
      <c r="P9" s="58"/>
      <c r="Q9" s="58"/>
      <c r="R9" s="58"/>
      <c r="S9" s="58"/>
      <c r="T9" s="58"/>
      <c r="U9" s="58"/>
      <c r="V9" s="58"/>
      <c r="W9" s="58"/>
      <c r="X9" s="58"/>
      <c r="Y9" s="58"/>
      <c r="Z9" s="58"/>
      <c r="AA9" s="58"/>
      <c r="AB9" s="58"/>
      <c r="AC9" s="58"/>
      <c r="AD9" s="58"/>
      <c r="AE9" s="58"/>
    </row>
    <row r="10" spans="1:32" s="63" customFormat="1" hidden="1" x14ac:dyDescent="0.3">
      <c r="B10">
        <v>7050040</v>
      </c>
      <c r="C10" s="743" t="str">
        <f>'Estim. Ingresos'!$A34</f>
        <v>Cota Extra Inicial (Só Primeiro Ano)</v>
      </c>
      <c r="D10" s="713">
        <f>'General Real Data (Obs.)'!E10</f>
        <v>0</v>
      </c>
      <c r="E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58"/>
    </row>
    <row r="11" spans="1:32" s="63" customFormat="1" x14ac:dyDescent="0.3">
      <c r="B11">
        <v>7050041</v>
      </c>
      <c r="C11" s="1439" t="str">
        <f>VLOOKUP("Cotas de Socios",tabIdiomas26[],MATCH('Indiv. Invoices Comparison'!$J$2,tabIdiomas26[#Headers]),FALSE)</f>
        <v>Membership Fees</v>
      </c>
      <c r="D11" s="1741">
        <f>'General Real Data (Obs.)'!E11</f>
        <v>2470.4699999999998</v>
      </c>
      <c r="E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row>
    <row r="12" spans="1:32" s="63" customFormat="1" ht="28.8" x14ac:dyDescent="0.3">
      <c r="B12">
        <v>7050050</v>
      </c>
      <c r="C12" s="1437" t="str">
        <f>VLOOKUP("Ingresos por Prestación Doutros Servizos Complementarios aos Socios",tabIdiomas26[],MATCH('Indiv. Invoices Comparison'!$J$2,tabIdiomas26[#Headers]),FALSE)</f>
        <v>Income Deriving from Other Complementary Services provided to the Partners</v>
      </c>
      <c r="D12" s="1742">
        <f>'General Real Data (Obs.)'!E12</f>
        <v>0</v>
      </c>
      <c r="E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173"/>
    </row>
    <row r="13" spans="1:32" s="172" customFormat="1" ht="28.8" x14ac:dyDescent="0.3">
      <c r="A13" s="742"/>
      <c r="C13" s="1438" t="str">
        <f>VLOOKUP("Total Ingresos por Cotas de Socios e Outros Servizos Complementarios",tabIdiomas26[],MATCH('Indiv. Invoices Comparison'!$J$2,tabIdiomas26[#Headers]),FALSE)</f>
        <v>Total Income from Membership Fees and Other Complementary Services</v>
      </c>
      <c r="D13" s="1743">
        <f>SUM(D10:D12)</f>
        <v>2470.4699999999998</v>
      </c>
      <c r="E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row>
    <row r="14" spans="1:32" s="10" customFormat="1" ht="28.8" x14ac:dyDescent="0.3">
      <c r="A14" s="739"/>
      <c r="B14" s="10">
        <v>746</v>
      </c>
      <c r="C14" s="1437" t="str">
        <f>VLOOKUP("Subvencións de Capital Transferidas ao Resultado do Exercicio (Imputación Anual)",tabIdiomas26[],MATCH('Indiv. Invoices Comparison'!$J$2,tabIdiomas26[#Headers]),FALSE)</f>
        <v>Capital Grants Transferred to the Financial Year Result (Annual Attribution)</v>
      </c>
      <c r="D14" s="1742">
        <f>'General Real Data (Obs.)'!E14</f>
        <v>1680</v>
      </c>
      <c r="E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row>
    <row r="15" spans="1:32" s="13" customFormat="1" ht="15" thickBot="1" x14ac:dyDescent="0.35">
      <c r="A15" s="174">
        <f>SUM(D13:AD13)</f>
        <v>2470.4699999999998</v>
      </c>
      <c r="C15" s="1436" t="str">
        <f>VLOOKUP("Total Ingresos de Explotación",tabIdiomas26[],MATCH('Indiv. Invoices Comparison'!$J$2,tabIdiomas26[#Headers]),FALSE)</f>
        <v>Total Operating Income</v>
      </c>
      <c r="D15" s="1744">
        <f>D9+D13+D14</f>
        <v>10849.47</v>
      </c>
      <c r="E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row>
    <row r="16" spans="1:32" ht="15.6" thickTop="1" thickBot="1" x14ac:dyDescent="0.35">
      <c r="A16">
        <v>0.05</v>
      </c>
      <c r="B16" s="13"/>
      <c r="C16" s="1435" t="str">
        <f>VLOOKUP("GASTOS",tabIdiomas26[],MATCH('Indiv. Invoices Comparison'!$J$2,tabIdiomas26[#Headers]),FALSE)</f>
        <v>EXPENSES</v>
      </c>
      <c r="D16" s="1933">
        <f>D5</f>
        <v>2025</v>
      </c>
      <c r="E16" s="145"/>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390"/>
    </row>
    <row r="17" spans="2:31" ht="15" hidden="1" thickTop="1" x14ac:dyDescent="0.3">
      <c r="B17">
        <v>602</v>
      </c>
      <c r="C17" s="734" t="s">
        <v>212</v>
      </c>
      <c r="D17" s="1745">
        <f>'General Real Data (Obs.)'!E17</f>
        <v>0</v>
      </c>
      <c r="E17" s="145"/>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54"/>
    </row>
    <row r="18" spans="2:31" hidden="1" x14ac:dyDescent="0.3">
      <c r="B18">
        <v>607</v>
      </c>
      <c r="C18" s="732" t="s">
        <v>266</v>
      </c>
      <c r="D18" s="1745">
        <f>'General Real Data (Obs.)'!E18</f>
        <v>0</v>
      </c>
      <c r="E18" s="145"/>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145"/>
    </row>
    <row r="19" spans="2:31" s="13" customFormat="1" ht="15" thickTop="1" x14ac:dyDescent="0.3">
      <c r="B19" s="13">
        <v>60</v>
      </c>
      <c r="C19" s="1434" t="str">
        <f>VLOOKUP("Compras de Materiais e Servizos",tabIdiomas26[],MATCH('Indiv. Invoices Comparison'!$J$2,tabIdiomas26[#Headers]),FALSE)</f>
        <v>Materials and Services Purchases</v>
      </c>
      <c r="D19" s="1746">
        <f>SUM(D17:D18)</f>
        <v>0</v>
      </c>
      <c r="E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row>
    <row r="20" spans="2:31" hidden="1" x14ac:dyDescent="0.3">
      <c r="B20">
        <v>640</v>
      </c>
      <c r="C20" s="166" t="s">
        <v>904</v>
      </c>
      <c r="D20" s="713">
        <f>'General Real Data (Obs.)'!E20</f>
        <v>0</v>
      </c>
      <c r="E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row>
    <row r="21" spans="2:31" hidden="1" x14ac:dyDescent="0.3">
      <c r="B21">
        <v>642</v>
      </c>
      <c r="C21" s="166" t="s">
        <v>283</v>
      </c>
      <c r="D21" s="713">
        <f>'General Real Data (Obs.)'!E21</f>
        <v>0</v>
      </c>
      <c r="E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row>
    <row r="22" spans="2:31" hidden="1" x14ac:dyDescent="0.3">
      <c r="B22">
        <v>649</v>
      </c>
      <c r="C22" s="166" t="s">
        <v>286</v>
      </c>
      <c r="D22" s="713">
        <f>'General Real Data (Obs.)'!E22</f>
        <v>0</v>
      </c>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row>
    <row r="23" spans="2:31" s="13" customFormat="1" x14ac:dyDescent="0.3">
      <c r="B23" s="13">
        <v>64</v>
      </c>
      <c r="C23" s="1433" t="str">
        <f>VLOOKUP("Gastos de persoal",tabIdiomas26[],MATCH('Indiv. Invoices Comparison'!$J$2,tabIdiomas26[#Headers]),FALSE)</f>
        <v>Human Resources Expenses</v>
      </c>
      <c r="D23" s="1746">
        <f>SUM(D20:D22)</f>
        <v>0</v>
      </c>
      <c r="E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row>
    <row r="24" spans="2:31" x14ac:dyDescent="0.3">
      <c r="B24">
        <v>621</v>
      </c>
      <c r="C24" s="1431" t="str">
        <f>VLOOKUP("Arrendamentos e Cánones (Aluguer terreos)",tabIdiomas26[],MATCH('Indiv. Invoices Comparison'!$J$2,tabIdiomas26[#Headers]),FALSE)</f>
        <v>Rentals (Land and Others)</v>
      </c>
      <c r="D24" s="1747">
        <f>'General Real Data (Obs.)'!E24</f>
        <v>480</v>
      </c>
      <c r="E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row>
    <row r="25" spans="2:31" x14ac:dyDescent="0.3">
      <c r="B25">
        <v>6221</v>
      </c>
      <c r="C25" s="1431" t="str">
        <f>VLOOKUP("Reparacións e Mantemento das Instalacións",tabIdiomas26[],MATCH('Indiv. Invoices Comparison'!$J$2,tabIdiomas26[#Headers]),FALSE)</f>
        <v>Facilities Repairing and Maintenance</v>
      </c>
      <c r="D25" s="1747">
        <f>'General Real Data (Obs.)'!E25</f>
        <v>600</v>
      </c>
      <c r="E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row>
    <row r="26" spans="2:31" s="10" customFormat="1" ht="28.8" x14ac:dyDescent="0.3">
      <c r="B26" s="10">
        <v>623</v>
      </c>
      <c r="C26" s="1432" t="str">
        <f>VLOOKUP("Servicios de Profesionais Indep. (Notarios, Avogados, Rexistradores, Economistas, Asesores, etc.)",tabIdiomas26[],MATCH('Indiv. Invoices Comparison'!$J$2,tabIdiomas26[#Headers]),FALSE)</f>
        <v>Profesional Services (Notaries, Lawyers, Registry Officers, Economists, Advisors, etc.)</v>
      </c>
      <c r="D26" s="1748">
        <f>'General Real Data (Obs.)'!E26</f>
        <v>0</v>
      </c>
      <c r="E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row>
    <row r="27" spans="2:31" x14ac:dyDescent="0.3">
      <c r="B27">
        <v>624</v>
      </c>
      <c r="C27" s="1431" t="str">
        <f>VLOOKUP("Transportes",tabIdiomas26[],MATCH('Indiv. Invoices Comparison'!$J$2,tabIdiomas26[#Headers]),FALSE)</f>
        <v>Transportation Expenses</v>
      </c>
      <c r="D27" s="1747">
        <f>'General Real Data (Obs.)'!E27</f>
        <v>0</v>
      </c>
      <c r="E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row>
    <row r="28" spans="2:31" x14ac:dyDescent="0.3">
      <c r="B28">
        <v>625</v>
      </c>
      <c r="C28" s="1431" t="str">
        <f>VLOOKUP("Primas de Seguros",tabIdiomas26[],MATCH('Indiv. Invoices Comparison'!$J$2,tabIdiomas26[#Headers]),FALSE)</f>
        <v>Insurance Premiums</v>
      </c>
      <c r="D28" s="1747">
        <f>'General Real Data (Obs.)'!E28</f>
        <v>1400</v>
      </c>
      <c r="E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row>
    <row r="29" spans="2:31" x14ac:dyDescent="0.3">
      <c r="B29">
        <v>626</v>
      </c>
      <c r="C29" s="1431" t="str">
        <f>VLOOKUP("Servizos Bancarios",tabIdiomas26[],MATCH('Indiv. Invoices Comparison'!$J$2,tabIdiomas26[#Headers]),FALSE)</f>
        <v>Banking Services</v>
      </c>
      <c r="D29" s="1747">
        <f>'General Real Data (Obs.)'!E29</f>
        <v>240</v>
      </c>
      <c r="E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row>
    <row r="30" spans="2:31" x14ac:dyDescent="0.3">
      <c r="B30">
        <v>627</v>
      </c>
      <c r="C30" s="1431" t="str">
        <f>VLOOKUP("Publicidade, Propaganda e RR.PP.",tabIdiomas26[],MATCH('Indiv. Invoices Comparison'!$J$2,tabIdiomas26[#Headers]),FALSE)</f>
        <v>Advertising, Propaganda &amp; Public Relations</v>
      </c>
      <c r="D30" s="1747">
        <f>'General Real Data (Obs.)'!E30</f>
        <v>0</v>
      </c>
      <c r="E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row>
    <row r="31" spans="2:31" x14ac:dyDescent="0.3">
      <c r="B31">
        <v>628</v>
      </c>
      <c r="C31" s="1431" t="str">
        <f>VLOOKUP("Subministros",tabIdiomas26[],MATCH('Indiv. Invoices Comparison'!$J$2,tabIdiomas26[#Headers]),FALSE)</f>
        <v>Supplies</v>
      </c>
      <c r="D31" s="1747">
        <f>'General Real Data (Obs.)'!E31</f>
        <v>360</v>
      </c>
      <c r="E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row>
    <row r="32" spans="2:31" x14ac:dyDescent="0.3">
      <c r="B32">
        <v>629</v>
      </c>
      <c r="C32" s="1431" t="str">
        <f>VLOOKUP("Outros Servizos",tabIdiomas26[],MATCH('Indiv. Invoices Comparison'!$J$2,tabIdiomas26[#Headers]),FALSE)</f>
        <v>Other Services</v>
      </c>
      <c r="D32" s="1747">
        <f>'General Real Data (Obs.)'!E32</f>
        <v>450</v>
      </c>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row>
    <row r="33" spans="1:34" s="13" customFormat="1" x14ac:dyDescent="0.3">
      <c r="B33" s="13">
        <v>62</v>
      </c>
      <c r="C33" s="1433" t="str">
        <f>VLOOKUP("Gastos en Servizos Exteriores",tabIdiomas26[],MATCH('Indiv. Invoices Comparison'!$J$2,tabIdiomas26[#Headers]),FALSE)</f>
        <v>External Services Expenses</v>
      </c>
      <c r="D33" s="1746">
        <f>SUM(D24:D32)</f>
        <v>3530</v>
      </c>
      <c r="E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row>
    <row r="34" spans="1:34" hidden="1" x14ac:dyDescent="0.3">
      <c r="C34" s="727"/>
      <c r="D34" s="713"/>
      <c r="E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row>
    <row r="35" spans="1:34" hidden="1" x14ac:dyDescent="0.3">
      <c r="C35" s="714" t="s">
        <v>897</v>
      </c>
      <c r="D35" s="713" t="e">
        <f>#REF!</f>
        <v>#REF!</v>
      </c>
      <c r="E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row>
    <row r="36" spans="1:34" hidden="1" x14ac:dyDescent="0.3">
      <c r="C36" s="166"/>
      <c r="D36" s="713"/>
      <c r="E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row>
    <row r="37" spans="1:34" s="723" customFormat="1" hidden="1" x14ac:dyDescent="0.3">
      <c r="C37" s="726" t="s">
        <v>896</v>
      </c>
      <c r="D37" s="1749">
        <f>SUM(D36)</f>
        <v>0</v>
      </c>
      <c r="E37" s="725"/>
      <c r="G37" s="72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725"/>
    </row>
    <row r="38" spans="1:34" ht="28.8" x14ac:dyDescent="0.3">
      <c r="B38">
        <v>631</v>
      </c>
      <c r="C38" s="1432" t="str">
        <f>VLOOKUP("Outros Tributos (Distintos do IS ou IVE)",tabIdiomas26[],MATCH('Indiv. Invoices Comparison'!$J$2,tabIdiomas26[#Headers]),FALSE)</f>
        <v>Other Taxes (Different from the Corporate Income Tax or the Value Added Tax)</v>
      </c>
      <c r="D38" s="1748">
        <f>'General Real Data (Obs.)'!E38</f>
        <v>10.47</v>
      </c>
      <c r="E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644"/>
      <c r="AF38" s="10"/>
      <c r="AG38" s="10"/>
      <c r="AH38" s="10"/>
    </row>
    <row r="39" spans="1:34" x14ac:dyDescent="0.3">
      <c r="B39">
        <v>659</v>
      </c>
      <c r="C39" s="1431" t="str">
        <f>VLOOKUP("Outras Perdas en Xestión Corrente",tabIdiomas26[],MATCH('Indiv. Invoices Comparison'!$J$2,tabIdiomas26[#Headers]),FALSE)</f>
        <v>Other Losses Arising From Ordinary Corporate Operation Activities</v>
      </c>
      <c r="D39" s="1747">
        <f>'General Real Data (Obs.)'!E39</f>
        <v>50</v>
      </c>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row>
    <row r="40" spans="1:34" s="13" customFormat="1" x14ac:dyDescent="0.3">
      <c r="C40" s="1430" t="str">
        <f>VLOOKUP("Total Gastos de Explotación",tabIdiomas26[],MATCH('Indiv. Invoices Comparison'!$J$2,tabIdiomas26[#Headers]),FALSE)</f>
        <v>Total Operating Expenses</v>
      </c>
      <c r="D40" s="1750">
        <f>D19+D23+D33+D38+D39</f>
        <v>3590.47</v>
      </c>
      <c r="E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row>
    <row r="41" spans="1:34" ht="15" thickBot="1" x14ac:dyDescent="0.35">
      <c r="C41" s="552"/>
      <c r="D41" s="712"/>
      <c r="AE41" s="145"/>
    </row>
    <row r="42" spans="1:34" s="64" customFormat="1" ht="30" thickTop="1" thickBot="1" x14ac:dyDescent="0.35">
      <c r="C42" s="1429" t="str">
        <f>VLOOKUP("EBITDA (Beneficio Antes de Interes, Impostos, Depreciacións e Amotizacións)",tabIdiomas26[],MATCH('Indiv. Invoices Comparison'!$J$2,tabIdiomas26[#Headers]),FALSE)</f>
        <v>EBITDA (Earnings Before Interests, Taxes, Depreciations and Amortizations)</v>
      </c>
      <c r="D42" s="1751">
        <f>D$15-D$40</f>
        <v>7259</v>
      </c>
      <c r="E42" s="717"/>
      <c r="G42" s="717"/>
      <c r="H42" s="717"/>
      <c r="I42" s="717"/>
      <c r="J42" s="717"/>
      <c r="K42" s="717"/>
      <c r="L42" s="717"/>
      <c r="M42" s="717"/>
      <c r="N42" s="717"/>
      <c r="O42" s="717"/>
      <c r="P42" s="717"/>
      <c r="Q42" s="717"/>
      <c r="R42" s="717"/>
      <c r="S42" s="717"/>
      <c r="T42" s="717"/>
      <c r="U42" s="717"/>
      <c r="V42" s="717"/>
      <c r="W42" s="717"/>
      <c r="X42" s="717"/>
      <c r="Y42" s="717"/>
      <c r="Z42" s="717"/>
      <c r="AA42" s="717"/>
      <c r="AB42" s="717"/>
      <c r="AC42" s="717"/>
      <c r="AD42" s="717"/>
      <c r="AE42" s="717"/>
    </row>
    <row r="43" spans="1:34" ht="15" thickTop="1" x14ac:dyDescent="0.3">
      <c r="A43">
        <v>0.15</v>
      </c>
      <c r="C43" s="555"/>
      <c r="D43" s="712"/>
      <c r="AD43" s="13"/>
      <c r="AE43" s="145"/>
    </row>
    <row r="44" spans="1:34" x14ac:dyDescent="0.3">
      <c r="B44" s="13">
        <v>681</v>
      </c>
      <c r="C44" s="1428" t="str">
        <f>VLOOKUP("Amortización do Investimento",tabIdiomas26[],MATCH('Indiv. Invoices Comparison'!$J$2,tabIdiomas26[#Headers]),FALSE)</f>
        <v>Amortization of the Investment</v>
      </c>
      <c r="D44" s="1752">
        <f>'General Real Data (Obs.)'!$E$44</f>
        <v>0</v>
      </c>
      <c r="E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row>
    <row r="45" spans="1:34" x14ac:dyDescent="0.3">
      <c r="C45" s="714"/>
      <c r="D45" s="713"/>
      <c r="E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row>
    <row r="46" spans="1:34" s="64" customFormat="1" x14ac:dyDescent="0.3">
      <c r="C46" s="1427" t="str">
        <f>VLOOKUP("EBIT (Beneficio Antes de Intereses e Impostos)",tabIdiomas26[],MATCH('Indiv. Invoices Comparison'!$J$2,tabIdiomas26[#Headers]),FALSE)</f>
        <v>EBIT (Earnings Before Interests and Taxes)</v>
      </c>
      <c r="D46" s="1753">
        <f>D42-D44</f>
        <v>7259</v>
      </c>
      <c r="E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row>
    <row r="47" spans="1:34" x14ac:dyDescent="0.3">
      <c r="C47" s="166"/>
      <c r="D47" s="712"/>
      <c r="AE47" s="145"/>
    </row>
    <row r="48" spans="1:34" x14ac:dyDescent="0.3">
      <c r="C48" s="1426" t="str">
        <f>VLOOKUP("Ingresos Financeiros",tabIdiomas26[],MATCH('Indiv. Invoices Comparison'!$J$2,tabIdiomas26[#Headers]),FALSE)</f>
        <v>Financial Income</v>
      </c>
      <c r="D48" s="1754">
        <f>'General Real Data (Obs.)'!E48</f>
        <v>0</v>
      </c>
      <c r="E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row>
    <row r="49" spans="2:31" x14ac:dyDescent="0.3">
      <c r="C49" s="1426" t="str">
        <f>VLOOKUP("Gastos Financeiros",tabIdiomas26[],MATCH('Indiv. Invoices Comparison'!$J$2,tabIdiomas26[#Headers]),FALSE)</f>
        <v>Financial Expenses</v>
      </c>
      <c r="D49" s="1754">
        <f>'General Real Data (Obs.)'!E49</f>
        <v>0</v>
      </c>
      <c r="E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row>
    <row r="50" spans="2:31" ht="15" thickBot="1" x14ac:dyDescent="0.35">
      <c r="C50" s="552"/>
      <c r="D50" s="713"/>
      <c r="E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row>
    <row r="51" spans="2:31" ht="15.6" thickTop="1" thickBot="1" x14ac:dyDescent="0.35">
      <c r="C51" s="1425" t="str">
        <f>VLOOKUP("Resultado Antes de Impostos",tabIdiomas26[],MATCH('Indiv. Invoices Comparison'!$J$2,tabIdiomas26[#Headers]),FALSE)</f>
        <v>Earnings Before Taxes</v>
      </c>
      <c r="D51" s="1424">
        <f>D46+D48-D49</f>
        <v>7259</v>
      </c>
      <c r="E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row>
    <row r="52" spans="2:31" ht="15" thickTop="1" x14ac:dyDescent="0.3">
      <c r="C52" s="166"/>
      <c r="D52" s="712"/>
      <c r="AE52" s="145"/>
    </row>
    <row r="53" spans="2:31" x14ac:dyDescent="0.3">
      <c r="B53" s="38">
        <v>0.25</v>
      </c>
      <c r="C53" s="1423" t="str">
        <f>VLOOKUP("Imposto sobre Sociedades (IS)",tabIdiomas26[],MATCH('Indiv. Invoices Comparison'!$J$2,tabIdiomas26[#Headers]),FALSE)</f>
        <v>Corporate Income Tax</v>
      </c>
      <c r="D53" s="1422">
        <f>'General Real Data (Obs.)'!E53</f>
        <v>1814.75</v>
      </c>
      <c r="E53" s="641"/>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row>
    <row r="54" spans="2:31" hidden="1" x14ac:dyDescent="0.3">
      <c r="C54" s="166" t="s">
        <v>886</v>
      </c>
      <c r="D54" s="805">
        <f>'General Real Data (Obs.)'!E54</f>
        <v>0</v>
      </c>
      <c r="H54" s="145"/>
      <c r="I54" s="145"/>
      <c r="J54" s="145"/>
      <c r="K54" s="145"/>
      <c r="L54" s="145"/>
      <c r="M54" s="145"/>
      <c r="N54" s="145"/>
      <c r="O54" s="145"/>
      <c r="P54" s="145"/>
      <c r="Q54" s="145"/>
      <c r="R54" s="145"/>
      <c r="S54" s="145"/>
      <c r="T54" s="145"/>
      <c r="AE54" s="145"/>
    </row>
    <row r="55" spans="2:31" hidden="1" x14ac:dyDescent="0.3">
      <c r="C55" s="166" t="s">
        <v>885</v>
      </c>
      <c r="D55" s="805">
        <f>'General Real Data (Obs.)'!E55</f>
        <v>0</v>
      </c>
      <c r="H55" s="145"/>
      <c r="I55" s="145"/>
      <c r="J55" s="145"/>
      <c r="K55" s="145"/>
      <c r="L55" s="145"/>
      <c r="M55" s="145"/>
      <c r="N55" s="145"/>
      <c r="O55" s="145"/>
      <c r="P55" s="145"/>
      <c r="Q55" s="145"/>
      <c r="R55" s="145"/>
      <c r="S55" s="145"/>
      <c r="T55" s="145"/>
      <c r="AE55" s="145"/>
    </row>
    <row r="56" spans="2:31" ht="15" thickBot="1" x14ac:dyDescent="0.35">
      <c r="C56" s="166"/>
      <c r="D56" s="712"/>
      <c r="AE56" s="145"/>
    </row>
    <row r="57" spans="2:31" ht="15.6" thickTop="1" thickBot="1" x14ac:dyDescent="0.35">
      <c r="C57" s="1421" t="str">
        <f>VLOOKUP("Resultado Neto",tabIdiomas26[],MATCH('Indiv. Invoices Comparison'!$J$2,tabIdiomas26[#Headers]),FALSE)</f>
        <v>Net Result</v>
      </c>
      <c r="D57" s="1420">
        <f>D51-D53</f>
        <v>5444.25</v>
      </c>
      <c r="E57" s="13"/>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row>
    <row r="58" spans="2:31" ht="15" thickTop="1" x14ac:dyDescent="0.3"/>
    <row r="59" spans="2:31" ht="15" thickBot="1" x14ac:dyDescent="0.35">
      <c r="D59" s="145"/>
    </row>
    <row r="60" spans="2:31" ht="15" thickTop="1" x14ac:dyDescent="0.3">
      <c r="B60" s="145"/>
      <c r="C60" s="1777" t="str">
        <f>VLOOKUP("Resumo da Conta de Resultados:",tabIdiomas26[],MATCH('Indiv. Invoices Comparison'!$J$2,tabIdiomas26[#Headers]),FALSE)</f>
        <v>Results Account Summary:</v>
      </c>
      <c r="D60" s="1934">
        <f>D4</f>
        <v>1</v>
      </c>
      <c r="E60" s="747"/>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row>
    <row r="61" spans="2:31" ht="15" thickBot="1" x14ac:dyDescent="0.35">
      <c r="C61" s="1778"/>
      <c r="D61" s="1935">
        <f>D5</f>
        <v>2025</v>
      </c>
      <c r="E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390"/>
    </row>
    <row r="62" spans="2:31" ht="14.55" customHeight="1" thickTop="1" x14ac:dyDescent="0.3">
      <c r="C62" s="1418" t="str">
        <f>VLOOKUP("Suma de Ingresos Monetarios (Cotas)",tabIdiomas26[],MATCH('Indiv. Invoices Comparison'!$J$2,tabIdiomas26[#Headers]),FALSE)</f>
        <v>Sum of Monetary Income (Membership Fees)</v>
      </c>
      <c r="D62" s="1773">
        <f>D13</f>
        <v>2470.4699999999998</v>
      </c>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row>
    <row r="63" spans="2:31" x14ac:dyDescent="0.3">
      <c r="C63" s="1417" t="str">
        <f>VLOOKUP("Suma de Outros Ingresos Monetarios (Imputación Subvención)",tabIdiomas26[],MATCH('Indiv. Invoices Comparison'!$J$2,tabIdiomas26[#Headers]),FALSE)</f>
        <v>Sum of Other Monetary Income (Grant Annual Attribution)</v>
      </c>
      <c r="D63" s="1543">
        <f>D14</f>
        <v>1680</v>
      </c>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row>
    <row r="64" spans="2:31" x14ac:dyDescent="0.3">
      <c r="C64" s="1416" t="str">
        <f>VLOOKUP("Total Ingresos Monetarios Computables",tabIdiomas26[],MATCH('Indiv. Invoices Comparison'!$J$2,tabIdiomas26[#Headers]),FALSE)</f>
        <v>Total Computable Monetary Income</v>
      </c>
      <c r="D64" s="1774">
        <f>SUM(D62:D63)</f>
        <v>4150.4699999999993</v>
      </c>
      <c r="E64" s="63"/>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row>
    <row r="65" spans="3:31" ht="15" thickBot="1" x14ac:dyDescent="0.35">
      <c r="C65" s="1415" t="str">
        <f>VLOOKUP("Suma de Custos",tabIdiomas26[],MATCH('Indiv. Invoices Comparison'!$J$2,tabIdiomas26[#Headers]),FALSE)</f>
        <v>Sum of Costs</v>
      </c>
      <c r="D65" s="1775">
        <f>(D40+D44+D49)</f>
        <v>3590.47</v>
      </c>
      <c r="E65" s="63"/>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row>
    <row r="66" spans="3:31" ht="15" thickBot="1" x14ac:dyDescent="0.35">
      <c r="C66" s="1414" t="str">
        <f>VLOOKUP("Superávit (+) ou Déficit (-)",tabIdiomas26[],MATCH('Indiv. Invoices Comparison'!$J$2,tabIdiomas26[#Headers]),FALSE)</f>
        <v>Surplus (+) or Deficit (-)</v>
      </c>
      <c r="D66" s="1776">
        <f>D64-D65</f>
        <v>559.99999999999955</v>
      </c>
      <c r="E66" s="147"/>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74"/>
    </row>
    <row r="68" spans="3:31" x14ac:dyDescent="0.3">
      <c r="D68" s="145"/>
      <c r="E68" s="145"/>
      <c r="F68" s="145"/>
      <c r="G68" s="145"/>
    </row>
    <row r="69" spans="3:31" x14ac:dyDescent="0.3">
      <c r="C69" s="13" t="str">
        <f>VLOOKUP("Determinación da Cota Promedio Necesaria Para a Cobertura de Custos:",tabIdiomas26[],MATCH('Indiv. Invoices Comparison'!$J$2,tabIdiomas26[#Headers]),FALSE)</f>
        <v>Determination of the Average Fee Necessary for Cost Coverage:</v>
      </c>
      <c r="D69" s="682"/>
      <c r="E69" s="682"/>
    </row>
    <row r="70" spans="3:31" x14ac:dyDescent="0.3">
      <c r="D70" s="145"/>
      <c r="E70" s="145"/>
    </row>
    <row r="71" spans="3:31" hidden="1" x14ac:dyDescent="0.3">
      <c r="C71" s="667" t="s">
        <v>876</v>
      </c>
      <c r="D71" s="666"/>
      <c r="E71" s="666"/>
      <c r="F71" s="675">
        <f>D65</f>
        <v>3590.47</v>
      </c>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row>
    <row r="72" spans="3:31" hidden="1" x14ac:dyDescent="0.3">
      <c r="C72" s="680" t="s">
        <v>875</v>
      </c>
      <c r="D72" s="679"/>
      <c r="E72" s="679"/>
      <c r="F72" s="678">
        <f>('General Real Data (Obs.)'!$D$211-(SUM('General Real Data (Obs.)'!$D$215:$D$218)-'General Real Data (Obs.)'!$E$209))/'General Real Data (Obs.)'!$E$59</f>
        <v>1120</v>
      </c>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row>
    <row r="73" spans="3:31" hidden="1" x14ac:dyDescent="0.3">
      <c r="C73" s="667" t="s">
        <v>874</v>
      </c>
      <c r="D73" s="666"/>
      <c r="E73" s="666"/>
      <c r="F73" s="675">
        <f t="shared" ref="F73" si="0">F71-F72</f>
        <v>2470.4699999999998</v>
      </c>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row>
    <row r="74" spans="3:31" hidden="1" x14ac:dyDescent="0.3">
      <c r="C74" s="667" t="s">
        <v>873</v>
      </c>
      <c r="D74" s="666"/>
      <c r="E74" s="666"/>
      <c r="F74" s="666">
        <f>'General Real Data (Obs.)'!$E$222</f>
        <v>25</v>
      </c>
    </row>
    <row r="75" spans="3:31" ht="15" hidden="1" thickBot="1" x14ac:dyDescent="0.35">
      <c r="C75" s="672" t="s">
        <v>872</v>
      </c>
      <c r="F75" s="145">
        <f t="shared" ref="F75" si="1">F73/F74</f>
        <v>98.818799999999996</v>
      </c>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row>
    <row r="76" spans="3:31" ht="15" hidden="1" thickBot="1" x14ac:dyDescent="0.35">
      <c r="C76" s="663" t="s">
        <v>871</v>
      </c>
      <c r="D76" s="662"/>
      <c r="E76" s="662"/>
      <c r="F76" s="669">
        <f t="shared" ref="F76" si="2">F75/12</f>
        <v>8.2348999999999997</v>
      </c>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row>
    <row r="77" spans="3:31" x14ac:dyDescent="0.3">
      <c r="AE77" s="145"/>
    </row>
    <row r="79" spans="3:31" ht="15" hidden="1" thickBot="1" x14ac:dyDescent="0.35">
      <c r="C79" s="667" t="s">
        <v>870</v>
      </c>
      <c r="D79" s="666"/>
      <c r="E79" s="666"/>
      <c r="F79" s="665" t="e">
        <f>MIN('Hipóteses xerais (2)'!$C$35*1000,'Hipóteses xerais (2)'!$C$70*'Hipóteses xerais (2)'!$I$52*'Hipóteses xerais (2)'!$I$53)</f>
        <v>#N/A</v>
      </c>
      <c r="G79" s="28"/>
      <c r="H79" s="28"/>
      <c r="I79" s="28"/>
      <c r="J79" s="28"/>
      <c r="K79" s="28"/>
      <c r="L79" s="28"/>
      <c r="M79" s="28"/>
      <c r="N79" s="28"/>
      <c r="O79" s="28"/>
      <c r="P79" s="28"/>
      <c r="Q79" s="28"/>
      <c r="R79" s="28"/>
      <c r="S79" s="28"/>
      <c r="T79" s="28"/>
      <c r="U79" s="28"/>
      <c r="V79" s="28"/>
      <c r="W79" s="28"/>
      <c r="X79" s="28"/>
      <c r="Y79" s="28"/>
      <c r="Z79" s="28"/>
      <c r="AA79" s="28"/>
      <c r="AB79" s="28"/>
      <c r="AC79" s="28"/>
      <c r="AD79" s="28"/>
      <c r="AE79" s="6"/>
    </row>
    <row r="80" spans="3:31" ht="15" hidden="1" thickBot="1" x14ac:dyDescent="0.35">
      <c r="C80" s="663" t="s">
        <v>869</v>
      </c>
      <c r="D80" s="662"/>
      <c r="E80" s="662"/>
      <c r="F80" s="661" t="e">
        <f t="shared" ref="F80" si="3">F73/F79</f>
        <v>#N/A</v>
      </c>
      <c r="G80" s="1736"/>
      <c r="H80" s="1736"/>
      <c r="I80" s="1736"/>
      <c r="J80" s="1736"/>
      <c r="K80" s="1736"/>
      <c r="L80" s="1736"/>
      <c r="M80" s="1736"/>
      <c r="N80" s="1736"/>
      <c r="O80" s="1736"/>
      <c r="P80" s="1736"/>
      <c r="Q80" s="1736"/>
      <c r="R80" s="1736"/>
      <c r="S80" s="1736"/>
      <c r="T80" s="1736"/>
      <c r="U80" s="1736"/>
      <c r="V80" s="1736"/>
      <c r="W80" s="1736"/>
      <c r="X80" s="1736"/>
      <c r="Y80" s="1736"/>
      <c r="Z80" s="1736"/>
      <c r="AA80" s="1736"/>
      <c r="AB80" s="1736"/>
      <c r="AC80" s="1736"/>
      <c r="AD80" s="1736"/>
      <c r="AE80" s="1737"/>
    </row>
    <row r="81" spans="3:31" ht="15" thickBot="1" x14ac:dyDescent="0.35"/>
    <row r="82" spans="3:31" ht="15" thickBot="1" x14ac:dyDescent="0.35">
      <c r="C82" s="624" t="str">
        <f>VLOOKUP("Cotas de Socios no Ano Inicial",tabIdiomas26[],MATCH('Indiv. Invoices Comparison'!$J$2,tabIdiomas26[#Headers]),FALSE)</f>
        <v>Initial Year Membership Fees</v>
      </c>
      <c r="D82" s="810" t="str">
        <f>VLOOKUP("Mensual",tabIdiomas26[],MATCH('Indiv. Invoices Comparison'!$J$2,tabIdiomas26[#Headers]),FALSE)</f>
        <v>Monthly</v>
      </c>
      <c r="E82" s="809" t="str">
        <f>VLOOKUP("Anual",tabIdiomas26[],MATCH('Indiv. Invoices Comparison'!$J$2,tabIdiomas26[#Headers]),FALSE)</f>
        <v>Annual</v>
      </c>
    </row>
    <row r="83" spans="3:31" ht="29.4" thickBot="1" x14ac:dyDescent="0.35">
      <c r="C83" s="1402" t="str">
        <f>VLOOKUP("Cota Mínima a satisfacer polo Socio Tipo (Consumo = 294,41 KWh ao Mes)",tabIdiomas26[],MATCH('Indiv. Invoices Comparison'!$J$2,tabIdiomas26[#Headers]),FALSE)</f>
        <v>Minimum Membership Fee to be satisfied by the Typical Partner (Consumption = 294,41 KWh per Month)</v>
      </c>
      <c r="D83" s="620">
        <f>$F$76</f>
        <v>8.2348999999999997</v>
      </c>
      <c r="E83" s="619">
        <f>$F$75</f>
        <v>98.818799999999996</v>
      </c>
      <c r="F83" s="6"/>
      <c r="G83" s="6"/>
    </row>
    <row r="84" spans="3:31" ht="15" thickBot="1" x14ac:dyDescent="0.35"/>
    <row r="85" spans="3:31" ht="15" hidden="1" thickBot="1" x14ac:dyDescent="0.35">
      <c r="C85" s="10"/>
      <c r="D85" s="1407" t="str">
        <f>VLOOKUP("Base Impoñible",tabIdiomas26[],MATCH('Indiv. Invoices Comparison'!$J$2,tabIdiomas26[#Headers]),FALSE)</f>
        <v>Tax Base</v>
      </c>
      <c r="E85" s="1406"/>
      <c r="F85" s="1755" t="e">
        <f>D9+(IF('Hipóteses xerais (2)'!$C$94="Si",('Hipóteses xerais (2)'!$C$89/'Hipóteses xerais (2)'!$C$11),0))</f>
        <v>#N/A</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1738"/>
    </row>
    <row r="86" spans="3:31" ht="29.4" thickBot="1" x14ac:dyDescent="0.35">
      <c r="C86" s="1412" t="str">
        <f>VLOOKUP("Cálculo da Incidencia do Impacto Fiscal sobre o Valor das Cotas de Socio",tabIdiomas26[],MATCH('Indiv. Invoices Comparison'!$J$2,tabIdiomas26[#Headers]),FALSE)</f>
        <v>Calculation of the Incidence of the Tax Impact on the Value of Membership Fees</v>
      </c>
      <c r="D86" s="634" t="str">
        <f>VLOOKUP("Cota Tributaria",tabIdiomas26[],MATCH('Indiv. Invoices Comparison'!$J$2,tabIdiomas26[#Headers]),FALSE)</f>
        <v>Tax Amount Payable</v>
      </c>
      <c r="E86" s="1405"/>
      <c r="F86" s="1756">
        <f>'General Real Data (Obs.)'!$E$53</f>
        <v>1814.75</v>
      </c>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1739"/>
    </row>
    <row r="87" spans="3:31" ht="57.6" hidden="1" x14ac:dyDescent="0.3">
      <c r="C87" s="1411" t="s">
        <v>863</v>
      </c>
      <c r="D87" s="641" t="s">
        <v>862</v>
      </c>
      <c r="E87" s="10"/>
      <c r="F87" s="644" t="e">
        <f>F86/'Hipóteses xerais (2)'!$F$39</f>
        <v>#N/A</v>
      </c>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1738"/>
    </row>
    <row r="88" spans="3:31" ht="58.2" hidden="1" thickBot="1" x14ac:dyDescent="0.35">
      <c r="C88" s="1410" t="s">
        <v>861</v>
      </c>
      <c r="D88" s="641" t="s">
        <v>860</v>
      </c>
      <c r="E88" s="10"/>
      <c r="F88" s="644" t="e">
        <f t="shared" ref="F88" si="4">F87/12</f>
        <v>#N/A</v>
      </c>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1739"/>
    </row>
    <row r="89" spans="3:31" ht="57.6" hidden="1" x14ac:dyDescent="0.3">
      <c r="C89" s="642" t="s">
        <v>859</v>
      </c>
      <c r="D89" s="641" t="s">
        <v>858</v>
      </c>
      <c r="E89" s="10"/>
      <c r="F89" s="644" t="e">
        <f t="shared" ref="F89" si="5">F86/(F79*1000)</f>
        <v>#N/A</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row>
    <row r="90" spans="3:31" ht="15" hidden="1" thickBot="1" x14ac:dyDescent="0.35">
      <c r="C90" s="140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3:31" ht="15" hidden="1" thickBot="1" x14ac:dyDescent="0.35">
      <c r="C91" s="1408" t="s">
        <v>857</v>
      </c>
      <c r="D91" s="1407" t="s">
        <v>856</v>
      </c>
      <c r="E91" s="1406"/>
      <c r="F91" s="1406"/>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3:31" ht="58.2" hidden="1" thickBot="1" x14ac:dyDescent="0.35">
      <c r="C92" s="635" t="s">
        <v>855</v>
      </c>
      <c r="D92" s="634" t="s">
        <v>854</v>
      </c>
      <c r="E92" s="1405"/>
      <c r="F92" s="632" t="e">
        <f>F75+(F87*(1+'Hipóteses xerais (2)'!$C$16))</f>
        <v>#N/A</v>
      </c>
      <c r="G92" s="1738"/>
      <c r="H92" s="1738"/>
      <c r="I92" s="1738"/>
      <c r="J92" s="1738"/>
      <c r="K92" s="1738"/>
      <c r="L92" s="1738"/>
      <c r="M92" s="1738"/>
      <c r="N92" s="1738"/>
      <c r="O92" s="1738"/>
      <c r="P92" s="1738"/>
      <c r="Q92" s="1738"/>
      <c r="R92" s="1738"/>
      <c r="S92" s="1738"/>
      <c r="T92" s="1738"/>
      <c r="U92" s="1738"/>
      <c r="V92" s="1738"/>
      <c r="W92" s="1738"/>
      <c r="X92" s="1738"/>
      <c r="Y92" s="1738"/>
      <c r="Z92" s="1738"/>
      <c r="AA92" s="1738"/>
      <c r="AB92" s="1738"/>
      <c r="AC92" s="1738"/>
      <c r="AD92" s="1738"/>
      <c r="AE92" s="1738"/>
    </row>
    <row r="93" spans="3:31" ht="15" hidden="1" thickBot="1" x14ac:dyDescent="0.35">
      <c r="C93" s="10"/>
      <c r="D93" s="1404" t="str">
        <f>VLOOKUP("Cota de Socio Mensual Axustada",tabIdiomas26[],MATCH('Indiv. Invoices Comparison'!$J$2,tabIdiomas26[#Headers]),FALSE)</f>
        <v>Adjusted Monthly Membership Fee</v>
      </c>
      <c r="E93" s="1403"/>
      <c r="F93" s="627" t="e">
        <f>F76+(F88*(1+'Hipóteses xerais (2)'!$C$16))</f>
        <v>#N/A</v>
      </c>
      <c r="G93" s="1738"/>
      <c r="H93" s="1738"/>
      <c r="I93" s="1738"/>
      <c r="J93" s="1738"/>
      <c r="K93" s="1738"/>
      <c r="L93" s="1738"/>
      <c r="M93" s="1738"/>
      <c r="N93" s="1738"/>
      <c r="O93" s="1738"/>
      <c r="P93" s="1738"/>
      <c r="Q93" s="1738"/>
      <c r="R93" s="1738"/>
      <c r="S93" s="1738"/>
      <c r="T93" s="1738"/>
      <c r="U93" s="1738"/>
      <c r="V93" s="1738"/>
      <c r="W93" s="1738"/>
      <c r="X93" s="1738"/>
      <c r="Y93" s="1738"/>
      <c r="Z93" s="1738"/>
      <c r="AA93" s="1738"/>
      <c r="AB93" s="1738"/>
      <c r="AC93" s="1738"/>
      <c r="AD93" s="1738"/>
      <c r="AE93" s="1739"/>
    </row>
    <row r="95" spans="3:31" ht="15" thickBot="1" x14ac:dyDescent="0.35">
      <c r="F95" s="145"/>
    </row>
    <row r="96" spans="3:31" ht="15" thickBot="1" x14ac:dyDescent="0.35">
      <c r="C96" s="624" t="str">
        <f>VLOOKUP("Cotas de Socios Axustadas por Impacto Fiscal no Ano Inicial",tabIdiomas26[],MATCH('Indiv. Invoices Comparison'!$J$2,tabIdiomas26[#Headers]),FALSE)</f>
        <v>Adjusted Monthly Membership Fees in the Initial Year</v>
      </c>
      <c r="D96" s="810" t="str">
        <f>VLOOKUP("Mensual",tabIdiomas26[],MATCH('Indiv. Invoices Comparison'!$J$2,tabIdiomas26[#Headers]),FALSE)</f>
        <v>Monthly</v>
      </c>
      <c r="E96" s="809" t="str">
        <f>VLOOKUP("Anual",tabIdiomas26[],MATCH('Indiv. Invoices Comparison'!$J$2,tabIdiomas26[#Headers]),FALSE)</f>
        <v>Annual</v>
      </c>
    </row>
    <row r="97" spans="3:5" ht="43.8" thickBot="1" x14ac:dyDescent="0.35">
      <c r="C97" s="1402" t="str">
        <f>VLOOKUP("Cota Mínima Axustada por Impacto Fiscal a satisfacer polo Socio Tipo (Consumo = 294,41 KWh ao Mes)",tabIdiomas26[],MATCH('Indiv. Invoices Comparison'!$J$2,tabIdiomas26[#Headers]),FALSE)</f>
        <v>Minimum Membership Fee, Adjusted for the Fiscal Impact, to be satisfied by the Typical Partner (Consumption = 294,41 KWh per Month)</v>
      </c>
      <c r="D97" s="620">
        <f>F76+((F86/12)/'General Real Data (Obs.)'!$E$59)</f>
        <v>14.284066666666666</v>
      </c>
      <c r="E97" s="619">
        <f>F75+(F86/'General Real Data (Obs.)'!$E$59)</f>
        <v>171.40879999999999</v>
      </c>
    </row>
    <row r="101" spans="3:5" x14ac:dyDescent="0.3">
      <c r="E101" s="145"/>
    </row>
  </sheetData>
  <sheetProtection algorithmName="SHA-512" hashValue="Lksnb+SP2mzssDM3l1HzWfuLrmv99SO0EDjxxpB72eSyzyEP+y5OVbxpMfpw7Gi4T2UimbOF6nAQ1xzr6lZcqg==" saltValue="9coQDf7BMs5YghjI5FZVgg==" spinCount="100000" sheet="1" objects="1" scenarios="1"/>
  <pageMargins left="0.70866141732283472" right="0.70866141732283472" top="0.39370078740157483" bottom="0.35433070866141736"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xr:uid="{160D2D11-ABA9-4C49-BD7B-3D13E3D2E802}">
          <x14:formula1>
            <xm:f>'Idiomas (2)'!$A$1:$E$1</xm:f>
          </x14:formula1>
          <xm:sqref>G2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CA28-1B4C-4302-A81D-898BA794B19C}">
  <sheetPr>
    <tabColor rgb="FF7030A0"/>
  </sheetPr>
  <dimension ref="B2:AN63"/>
  <sheetViews>
    <sheetView workbookViewId="0">
      <selection activeCell="AE4" sqref="AE4"/>
    </sheetView>
  </sheetViews>
  <sheetFormatPr baseColWidth="10" defaultColWidth="11.44140625" defaultRowHeight="14.4" x14ac:dyDescent="0.3"/>
  <cols>
    <col min="2" max="2" width="54.88671875" bestFit="1" customWidth="1"/>
    <col min="3" max="3" width="14.44140625" hidden="1" customWidth="1"/>
    <col min="4" max="4" width="14.44140625" bestFit="1" customWidth="1"/>
    <col min="5" max="7" width="13" hidden="1" customWidth="1"/>
    <col min="8" max="12" width="12.5546875" hidden="1" customWidth="1"/>
    <col min="13" max="13" width="13" hidden="1" customWidth="1"/>
    <col min="14" max="14" width="13.6640625" hidden="1" customWidth="1"/>
    <col min="15" max="28" width="12.5546875" hidden="1" customWidth="1"/>
    <col min="29" max="29" width="20.44140625" hidden="1" customWidth="1"/>
    <col min="39" max="39" width="16.77734375" customWidth="1"/>
    <col min="40" max="40" width="13.6640625" customWidth="1"/>
  </cols>
  <sheetData>
    <row r="2" spans="2:40" x14ac:dyDescent="0.3">
      <c r="B2" s="13" t="str">
        <f>VLOOKUP("Fluxos de Caixa",tabIdiomas26[],MATCH('Indiv. Invoices Comparison'!$J$2,tabIdiomas26[#Headers]),FALSE)</f>
        <v>Cash Flows</v>
      </c>
      <c r="AD2" s="1761" t="str">
        <f>VLOOKUP("Ter en conta se está a excluír ou non o valor da enerxía producida e transmitida gratuitamente aos socios para o seu autoconsumo ou compensación.",tabIdiomas26[],MATCH('Operating Account'!$G$2,tabIdiomas26[#Headers]),FALSE)</f>
        <v>Consider whether or not to exclude the value of the energy produced and transmitted free of charge to the members for self-consumption or compensation.</v>
      </c>
      <c r="AE2" s="1762"/>
      <c r="AF2" s="1762"/>
      <c r="AG2" s="1762"/>
      <c r="AH2" s="1762"/>
      <c r="AI2" s="1762"/>
      <c r="AJ2" s="1762"/>
      <c r="AK2" s="1762"/>
      <c r="AL2" s="1762"/>
      <c r="AM2" s="1762"/>
      <c r="AN2" s="1762"/>
    </row>
    <row r="3" spans="2:40" ht="15" thickBot="1" x14ac:dyDescent="0.35"/>
    <row r="4" spans="2:40" ht="15" thickBot="1" x14ac:dyDescent="0.35">
      <c r="AE4" s="441" t="str">
        <f>VLOOKUP("Inclusión do Valor da Enerxía Producida como Ingreso que Si Xera un Fluxo de Efectivo Pseudo-Monetario (Si/Non)",tabIdiomas26[#Data],MATCH('Operating Account'!$G$2,tabIdiomas26[#Headers]),FALSE)</f>
        <v>Inclusion of Value of Energy Produced as Income that Does Generate a Pseudo-Monetary Cash Flow (Yes/No)</v>
      </c>
      <c r="AF4" s="441"/>
      <c r="AG4" s="441"/>
      <c r="AH4" s="441"/>
      <c r="AI4" s="441"/>
      <c r="AJ4" s="441"/>
      <c r="AK4" s="1445"/>
      <c r="AL4" s="1444"/>
      <c r="AM4" s="1757"/>
    </row>
    <row r="5" spans="2:40" ht="15.6" thickTop="1" thickBot="1" x14ac:dyDescent="0.35">
      <c r="B5" s="1502"/>
      <c r="C5" s="1121">
        <v>0</v>
      </c>
      <c r="D5" s="1504">
        <f>'Operating Account'!D4</f>
        <v>1</v>
      </c>
      <c r="E5" s="1121">
        <v>2</v>
      </c>
      <c r="F5" s="1121">
        <v>3</v>
      </c>
      <c r="G5" s="1121">
        <v>4</v>
      </c>
      <c r="H5" s="1121">
        <v>5</v>
      </c>
      <c r="I5" s="1121">
        <v>6</v>
      </c>
      <c r="J5" s="1121">
        <v>7</v>
      </c>
      <c r="K5" s="1121">
        <v>8</v>
      </c>
      <c r="L5" s="1121">
        <v>9</v>
      </c>
      <c r="M5" s="1121">
        <v>10</v>
      </c>
      <c r="N5" s="1121">
        <v>11</v>
      </c>
      <c r="O5" s="1121">
        <v>12</v>
      </c>
      <c r="P5" s="1121">
        <v>13</v>
      </c>
      <c r="Q5" s="1121">
        <v>14</v>
      </c>
      <c r="R5" s="1121">
        <v>15</v>
      </c>
      <c r="S5" s="1121">
        <v>16</v>
      </c>
      <c r="T5" s="1121">
        <v>17</v>
      </c>
      <c r="U5" s="1121">
        <v>18</v>
      </c>
      <c r="V5" s="1121">
        <v>19</v>
      </c>
      <c r="W5" s="1121">
        <v>20</v>
      </c>
      <c r="X5" s="1121">
        <v>21</v>
      </c>
      <c r="Y5" s="1121">
        <v>22</v>
      </c>
      <c r="Z5" s="1121">
        <v>23</v>
      </c>
      <c r="AA5" s="1504">
        <v>24</v>
      </c>
      <c r="AB5" s="1503">
        <v>25</v>
      </c>
      <c r="AC5" s="1502" t="str">
        <f>VLOOKUP("Total Proxecto",tabIdiomas26[],MATCH('Indiv. Invoices Comparison'!$J$2,tabIdiomas26[#Headers]),FALSE)</f>
        <v>Project Total</v>
      </c>
      <c r="AE5" s="1760" t="s">
        <v>7</v>
      </c>
      <c r="AF5" s="1443"/>
      <c r="AG5" s="1443"/>
      <c r="AH5" s="1443"/>
      <c r="AI5" s="1443"/>
      <c r="AJ5" s="1443"/>
      <c r="AK5" s="1443"/>
      <c r="AL5" s="1442"/>
      <c r="AM5" s="1758"/>
    </row>
    <row r="6" spans="2:40" ht="15" thickBot="1" x14ac:dyDescent="0.35">
      <c r="B6" s="1500" t="str">
        <f>VLOOKUP("Conceptos",tabIdiomas26[],MATCH('Indiv. Invoices Comparison'!$J$2,tabIdiomas26[#Headers]),FALSE)</f>
        <v>Concepts</v>
      </c>
      <c r="C6" s="65"/>
      <c r="D6" s="1501">
        <f>'Operating Account'!D$5</f>
        <v>2025</v>
      </c>
      <c r="E6" s="65">
        <f>'Operating Account'!G$5</f>
        <v>0</v>
      </c>
      <c r="F6" s="65">
        <f>'Operating Account'!H$5</f>
        <v>0</v>
      </c>
      <c r="G6" s="65">
        <f>'Operating Account'!I$5</f>
        <v>0</v>
      </c>
      <c r="H6" s="65">
        <f>'Operating Account'!J$5</f>
        <v>0</v>
      </c>
      <c r="I6" s="65">
        <f>'Operating Account'!K$5</f>
        <v>0</v>
      </c>
      <c r="J6" s="65">
        <f>'Operating Account'!L$5</f>
        <v>0</v>
      </c>
      <c r="K6" s="65">
        <f>'Operating Account'!M$5</f>
        <v>0</v>
      </c>
      <c r="L6" s="65">
        <f>'Operating Account'!N$5</f>
        <v>0</v>
      </c>
      <c r="M6" s="65">
        <f>'Operating Account'!O$5</f>
        <v>0</v>
      </c>
      <c r="N6" s="65">
        <f>'Operating Account'!P$5</f>
        <v>0</v>
      </c>
      <c r="O6" s="65">
        <f>'Operating Account'!Q$5</f>
        <v>0</v>
      </c>
      <c r="P6" s="65">
        <f>'Operating Account'!R$5</f>
        <v>0</v>
      </c>
      <c r="Q6" s="65">
        <f>'Operating Account'!S$5</f>
        <v>0</v>
      </c>
      <c r="R6" s="65">
        <f>'Operating Account'!T$5</f>
        <v>0</v>
      </c>
      <c r="S6" s="65">
        <f>'Operating Account'!U$5</f>
        <v>0</v>
      </c>
      <c r="T6" s="65">
        <f>'Operating Account'!V$5</f>
        <v>0</v>
      </c>
      <c r="U6" s="65">
        <f>'Operating Account'!W$5</f>
        <v>0</v>
      </c>
      <c r="V6" s="65">
        <f>'Operating Account'!X$5</f>
        <v>0</v>
      </c>
      <c r="W6" s="65">
        <f>'Operating Account'!Y$5</f>
        <v>0</v>
      </c>
      <c r="X6" s="65">
        <f>'Operating Account'!Z$5</f>
        <v>0</v>
      </c>
      <c r="Y6" s="65">
        <f>'Operating Account'!AA$5</f>
        <v>0</v>
      </c>
      <c r="Z6" s="65">
        <f>'Operating Account'!AB$5</f>
        <v>0</v>
      </c>
      <c r="AA6" s="1501">
        <f>'Operating Account'!AC$5</f>
        <v>0</v>
      </c>
      <c r="AB6" s="1118">
        <f>'Operating Account'!AD$5</f>
        <v>0</v>
      </c>
      <c r="AC6" s="1500" t="str">
        <f>VLOOKUP("Conxunto dos 25 Anos",tabIdiomas26[],MATCH('Indiv. Invoices Comparison'!$J$2,tabIdiomas26[#Headers]),FALSE)</f>
        <v xml:space="preserve"> 25 Year Set</v>
      </c>
    </row>
    <row r="7" spans="2:40" ht="15.6" thickTop="1" thickBot="1" x14ac:dyDescent="0.35">
      <c r="B7" s="999" t="str">
        <f>VLOOKUP("Fluxo de Caixa Operativo",tabIdiomas26[],MATCH('Indiv. Invoices Comparison'!$J$2,tabIdiomas26[#Headers]),FALSE)</f>
        <v>Operating Cash Flow</v>
      </c>
      <c r="C7" s="1499"/>
      <c r="D7" s="1497"/>
      <c r="E7" s="1498"/>
      <c r="F7" s="1498"/>
      <c r="G7" s="1498"/>
      <c r="H7" s="1498"/>
      <c r="I7" s="1498"/>
      <c r="J7" s="1498"/>
      <c r="K7" s="1498"/>
      <c r="L7" s="1498"/>
      <c r="M7" s="1498"/>
      <c r="N7" s="1498"/>
      <c r="O7" s="1498"/>
      <c r="P7" s="1498"/>
      <c r="Q7" s="1498"/>
      <c r="R7" s="1498"/>
      <c r="S7" s="1498"/>
      <c r="T7" s="1498"/>
      <c r="U7" s="1498"/>
      <c r="V7" s="1498"/>
      <c r="W7" s="1498"/>
      <c r="X7" s="1498"/>
      <c r="Y7" s="1498"/>
      <c r="Z7" s="1498"/>
      <c r="AA7" s="1498"/>
      <c r="AB7" s="1497"/>
      <c r="AC7" s="1496"/>
      <c r="AE7" s="441" t="str">
        <f>VLOOKUP("Taxa de Desconto a Aplicar para a Actualización dos Fluxos de Efectivo (%)",tabIdiomas26[],MATCH('Operating Account'!$G$2,tabIdiomas26[#Headers]),FALSE)</f>
        <v>Discount Rate Applicable to the Cash Flows (%)</v>
      </c>
      <c r="AF7" s="441"/>
      <c r="AG7" s="441"/>
      <c r="AH7" s="1445"/>
      <c r="AI7" s="1759"/>
      <c r="AJ7" s="1759"/>
      <c r="AK7" s="1759"/>
      <c r="AL7" s="1444"/>
    </row>
    <row r="8" spans="2:40" ht="15" thickBot="1" x14ac:dyDescent="0.35">
      <c r="B8" s="1495" t="str">
        <f>VLOOKUP("Resultado de Explotación",tabIdiomas26[],MATCH('Indiv. Invoices Comparison'!$J$2,tabIdiomas26[#Headers]),FALSE)</f>
        <v>Operating Result</v>
      </c>
      <c r="C8" s="1494"/>
      <c r="D8" s="1763">
        <f>'Operating Account'!D51</f>
        <v>7259</v>
      </c>
      <c r="E8" s="1494">
        <f>'Operating Account'!G51</f>
        <v>0</v>
      </c>
      <c r="F8" s="1494">
        <f>'Operating Account'!H51</f>
        <v>0</v>
      </c>
      <c r="G8" s="1494">
        <f>'Operating Account'!I51</f>
        <v>0</v>
      </c>
      <c r="H8" s="1494">
        <f>'Operating Account'!J51</f>
        <v>0</v>
      </c>
      <c r="I8" s="1494">
        <f>'Operating Account'!K51</f>
        <v>0</v>
      </c>
      <c r="J8" s="1494">
        <f>'Operating Account'!L51</f>
        <v>0</v>
      </c>
      <c r="K8" s="1494">
        <f>'Operating Account'!M51</f>
        <v>0</v>
      </c>
      <c r="L8" s="1494">
        <f>'Operating Account'!N51</f>
        <v>0</v>
      </c>
      <c r="M8" s="1494">
        <f>'Operating Account'!O51</f>
        <v>0</v>
      </c>
      <c r="N8" s="1494">
        <f>'Operating Account'!P51</f>
        <v>0</v>
      </c>
      <c r="O8" s="1494">
        <f>'Operating Account'!Q51</f>
        <v>0</v>
      </c>
      <c r="P8" s="1494">
        <f>'Operating Account'!R51</f>
        <v>0</v>
      </c>
      <c r="Q8" s="1494">
        <f>'Operating Account'!S51</f>
        <v>0</v>
      </c>
      <c r="R8" s="1494">
        <f>'Operating Account'!T51</f>
        <v>0</v>
      </c>
      <c r="S8" s="1494">
        <f>'Operating Account'!U51</f>
        <v>0</v>
      </c>
      <c r="T8" s="1494">
        <f>'Operating Account'!V51</f>
        <v>0</v>
      </c>
      <c r="U8" s="1494">
        <f>'Operating Account'!W51</f>
        <v>0</v>
      </c>
      <c r="V8" s="1494">
        <f>'Operating Account'!X51</f>
        <v>0</v>
      </c>
      <c r="W8" s="1494">
        <f>'Operating Account'!Y51</f>
        <v>0</v>
      </c>
      <c r="X8" s="1494">
        <f>'Operating Account'!Z51</f>
        <v>0</v>
      </c>
      <c r="Y8" s="1494">
        <f>'Operating Account'!AA51</f>
        <v>0</v>
      </c>
      <c r="Z8" s="1494">
        <f>'Operating Account'!AB51</f>
        <v>0</v>
      </c>
      <c r="AA8" s="1494">
        <f>'Operating Account'!AC51</f>
        <v>0</v>
      </c>
      <c r="AB8" s="1493">
        <f>'Operating Account'!AD51</f>
        <v>0</v>
      </c>
      <c r="AC8" s="1492">
        <f t="shared" ref="AC8:AC16" si="0">SUM(C8:AB8)</f>
        <v>7259</v>
      </c>
      <c r="AE8" s="1802">
        <f>'General Real Data (Obs.)'!$C$246</f>
        <v>3.2550000000000003E-2</v>
      </c>
      <c r="AF8" s="1443"/>
      <c r="AG8" s="1443"/>
      <c r="AH8" s="1443"/>
      <c r="AI8" s="1443"/>
      <c r="AJ8" s="1443"/>
      <c r="AK8" s="1443"/>
      <c r="AL8" s="1442"/>
    </row>
    <row r="9" spans="2:40" x14ac:dyDescent="0.3">
      <c r="B9" s="1491" t="str">
        <f>VLOOKUP("(-) Ingresos por Enerxía Autoconsumida e Compensada",tabIdiomas26[],MATCH('Indiv. Invoices Comparison'!$J$2,tabIdiomas26[#Headers]),FALSE)</f>
        <v>(-) Self-consumed and Compensated Energy Revenues</v>
      </c>
      <c r="C9" s="1486"/>
      <c r="D9" s="1764">
        <f>IF(B63="Non",(-('Operating Account'!D6+'Operating Account'!D7)),0)</f>
        <v>0</v>
      </c>
      <c r="E9" s="1486" t="e">
        <f>IF('Hipóteses Xerais'!$B$34="Non",(-('Operating Account'!G6+'Operating Account'!G7)),0)</f>
        <v>#N/A</v>
      </c>
      <c r="F9" s="1486" t="e">
        <f>IF('Hipóteses Xerais'!$B$34="Non",(-('Operating Account'!H6+'Operating Account'!H7)),0)</f>
        <v>#N/A</v>
      </c>
      <c r="G9" s="1486" t="e">
        <f>IF('Hipóteses Xerais'!$B$34="Non",(-('Operating Account'!I6+'Operating Account'!I7)),0)</f>
        <v>#N/A</v>
      </c>
      <c r="H9" s="1486" t="e">
        <f>IF('Hipóteses Xerais'!$B$34="Non",(-('Operating Account'!J6+'Operating Account'!J7)),0)</f>
        <v>#N/A</v>
      </c>
      <c r="I9" s="1486" t="e">
        <f>IF('Hipóteses Xerais'!$B$34="Non",(-('Operating Account'!K6+'Operating Account'!K7)),0)</f>
        <v>#N/A</v>
      </c>
      <c r="J9" s="1486" t="e">
        <f>IF('Hipóteses Xerais'!$B$34="Non",(-('Operating Account'!L6+'Operating Account'!L7)),0)</f>
        <v>#N/A</v>
      </c>
      <c r="K9" s="1486" t="e">
        <f>IF('Hipóteses Xerais'!$B$34="Non",(-('Operating Account'!M6+'Operating Account'!M7)),0)</f>
        <v>#N/A</v>
      </c>
      <c r="L9" s="1486" t="e">
        <f>IF('Hipóteses Xerais'!$B$34="Non",(-('Operating Account'!N6+'Operating Account'!N7)),0)</f>
        <v>#N/A</v>
      </c>
      <c r="M9" s="1486" t="e">
        <f>IF('Hipóteses Xerais'!$B$34="Non",(-('Operating Account'!O6+'Operating Account'!O7)),0)</f>
        <v>#N/A</v>
      </c>
      <c r="N9" s="1486" t="e">
        <f>IF('Hipóteses Xerais'!$B$34="Non",(-('Operating Account'!P6+'Operating Account'!P7)),0)</f>
        <v>#N/A</v>
      </c>
      <c r="O9" s="1486" t="e">
        <f>IF('Hipóteses Xerais'!$B$34="Non",(-('Operating Account'!Q6+'Operating Account'!Q7)),0)</f>
        <v>#N/A</v>
      </c>
      <c r="P9" s="1486" t="e">
        <f>IF('Hipóteses Xerais'!$B$34="Non",(-('Operating Account'!R6+'Operating Account'!R7)),0)</f>
        <v>#N/A</v>
      </c>
      <c r="Q9" s="1486" t="e">
        <f>IF('Hipóteses Xerais'!$B$34="Non",(-('Operating Account'!S6+'Operating Account'!S7)),0)</f>
        <v>#N/A</v>
      </c>
      <c r="R9" s="1486" t="e">
        <f>IF('Hipóteses Xerais'!$B$34="Non",(-('Operating Account'!T6+'Operating Account'!T7)),0)</f>
        <v>#N/A</v>
      </c>
      <c r="S9" s="1486" t="e">
        <f>IF('Hipóteses Xerais'!$B$34="Non",(-('Operating Account'!U6+'Operating Account'!U7)),0)</f>
        <v>#N/A</v>
      </c>
      <c r="T9" s="1486" t="e">
        <f>IF('Hipóteses Xerais'!$B$34="Non",(-('Operating Account'!V6+'Operating Account'!V7)),0)</f>
        <v>#N/A</v>
      </c>
      <c r="U9" s="1486" t="e">
        <f>IF('Hipóteses Xerais'!$B$34="Non",(-('Operating Account'!W6+'Operating Account'!W7)),0)</f>
        <v>#N/A</v>
      </c>
      <c r="V9" s="1486" t="e">
        <f>IF('Hipóteses Xerais'!$B$34="Non",(-('Operating Account'!X6+'Operating Account'!X7)),0)</f>
        <v>#N/A</v>
      </c>
      <c r="W9" s="1486" t="e">
        <f>IF('Hipóteses Xerais'!$B$34="Non",(-('Operating Account'!Y6+'Operating Account'!Y7)),0)</f>
        <v>#N/A</v>
      </c>
      <c r="X9" s="1486" t="e">
        <f>IF('Hipóteses Xerais'!$B$34="Non",(-('Operating Account'!Z6+'Operating Account'!Z7)),0)</f>
        <v>#N/A</v>
      </c>
      <c r="Y9" s="1486" t="e">
        <f>IF('Hipóteses Xerais'!$B$34="Non",(-('Operating Account'!AA6+'Operating Account'!AA7)),0)</f>
        <v>#N/A</v>
      </c>
      <c r="Z9" s="1486" t="e">
        <f>IF('Hipóteses Xerais'!$B$34="Non",(-('Operating Account'!AB6+'Operating Account'!AB7)),0)</f>
        <v>#N/A</v>
      </c>
      <c r="AA9" s="1486" t="e">
        <f>IF('Hipóteses Xerais'!$B$34="Non",(-('Operating Account'!AC6+'Operating Account'!AC7)),0)</f>
        <v>#N/A</v>
      </c>
      <c r="AB9" s="1485" t="e">
        <f>IF('Hipóteses Xerais'!$B$34="Non",(-('Operating Account'!AD6+'Operating Account'!AD7)),0)</f>
        <v>#N/A</v>
      </c>
      <c r="AC9" s="1490" t="e">
        <f t="shared" si="0"/>
        <v>#N/A</v>
      </c>
    </row>
    <row r="10" spans="2:40" x14ac:dyDescent="0.3">
      <c r="B10" s="1488" t="str">
        <f>VLOOKUP("(+) Amortización do Investimento",tabIdiomas26[],MATCH('Indiv. Invoices Comparison'!$J$2,tabIdiomas26[#Headers]),FALSE)</f>
        <v>(+) Amortization of the Investment</v>
      </c>
      <c r="C10" s="1486"/>
      <c r="D10" s="1764">
        <f>'Operating Account'!D$44</f>
        <v>0</v>
      </c>
      <c r="E10" s="1486">
        <f>'Operating Account'!G44</f>
        <v>0</v>
      </c>
      <c r="F10" s="1486">
        <f>'Operating Account'!H44</f>
        <v>0</v>
      </c>
      <c r="G10" s="1486">
        <f>'Operating Account'!I44</f>
        <v>0</v>
      </c>
      <c r="H10" s="1486">
        <f>'Operating Account'!J44</f>
        <v>0</v>
      </c>
      <c r="I10" s="1486">
        <f>'Operating Account'!K44</f>
        <v>0</v>
      </c>
      <c r="J10" s="1486">
        <f>'Operating Account'!L44</f>
        <v>0</v>
      </c>
      <c r="K10" s="1486">
        <f>'Operating Account'!M44</f>
        <v>0</v>
      </c>
      <c r="L10" s="1486">
        <f>'Operating Account'!N44</f>
        <v>0</v>
      </c>
      <c r="M10" s="1486">
        <f>'Operating Account'!O44</f>
        <v>0</v>
      </c>
      <c r="N10" s="1486">
        <f>'Operating Account'!P44</f>
        <v>0</v>
      </c>
      <c r="O10" s="1486">
        <f>'Operating Account'!Q44</f>
        <v>0</v>
      </c>
      <c r="P10" s="1486">
        <f>'Operating Account'!R44</f>
        <v>0</v>
      </c>
      <c r="Q10" s="1486">
        <f>'Operating Account'!S44</f>
        <v>0</v>
      </c>
      <c r="R10" s="1486">
        <f>'Operating Account'!T44</f>
        <v>0</v>
      </c>
      <c r="S10" s="1486">
        <f>'Operating Account'!U44</f>
        <v>0</v>
      </c>
      <c r="T10" s="1486">
        <f>'Operating Account'!V44</f>
        <v>0</v>
      </c>
      <c r="U10" s="1486">
        <f>'Operating Account'!W44</f>
        <v>0</v>
      </c>
      <c r="V10" s="1486">
        <f>'Operating Account'!X44</f>
        <v>0</v>
      </c>
      <c r="W10" s="1486">
        <f>'Operating Account'!Y44</f>
        <v>0</v>
      </c>
      <c r="X10" s="1486">
        <f>'Operating Account'!Z44</f>
        <v>0</v>
      </c>
      <c r="Y10" s="1486">
        <f>'Operating Account'!AA44</f>
        <v>0</v>
      </c>
      <c r="Z10" s="1486">
        <f>'Operating Account'!AB44</f>
        <v>0</v>
      </c>
      <c r="AA10" s="1486">
        <f>'Operating Account'!AC44</f>
        <v>0</v>
      </c>
      <c r="AB10" s="1485">
        <f>'Operating Account'!AD44</f>
        <v>0</v>
      </c>
      <c r="AC10" s="1484">
        <f t="shared" si="0"/>
        <v>0</v>
      </c>
    </row>
    <row r="11" spans="2:40" ht="28.8" x14ac:dyDescent="0.3">
      <c r="B11" s="1489" t="str">
        <f>VLOOKUP("(+) Variación Neta do Capital Circulante (Estimado en 1 Mes de Gastos de Explotación)",tabIdiomas26[],MATCH('Indiv. Invoices Comparison'!$J$2,tabIdiomas26[#Headers]),FALSE)</f>
        <v>(+) Net Change in Working Capital (Estimated in 1 Month of Operating Expenses)</v>
      </c>
      <c r="C11" s="1486"/>
      <c r="D11" s="1764">
        <f>'Operating Account'!D40/12</f>
        <v>299.20583333333332</v>
      </c>
      <c r="E11" s="1486">
        <f>('Operating Account'!G40/12)-D11</f>
        <v>-299.20583333333332</v>
      </c>
      <c r="F11" s="1486">
        <f>('Operating Account'!H40/12)-(D11+E11)</f>
        <v>0</v>
      </c>
      <c r="G11" s="1486">
        <f>('Operating Account'!I40/12)-(D11+E11+F11)</f>
        <v>0</v>
      </c>
      <c r="H11" s="1486">
        <f>('Operating Account'!J40/12)-(SUM(D11:G11))</f>
        <v>0</v>
      </c>
      <c r="I11" s="1486">
        <f>('Operating Account'!K40/12)-SUM(D11:H11)</f>
        <v>0</v>
      </c>
      <c r="J11" s="1486">
        <f>(('Operating Account'!L40/12)-SUM(D11:I11))</f>
        <v>0</v>
      </c>
      <c r="K11" s="1486">
        <f>('Operating Account'!M40/12)-SUM(D11:J11)</f>
        <v>0</v>
      </c>
      <c r="L11" s="1486">
        <f>('Operating Account'!N40/12)-SUM(D11:K11)</f>
        <v>0</v>
      </c>
      <c r="M11" s="1486">
        <f>(('Operating Account'!O40/12)-SUM(D11:L11))</f>
        <v>0</v>
      </c>
      <c r="N11" s="1486">
        <f>('Operating Account'!P40/12)-SUM(D11:M11)</f>
        <v>0</v>
      </c>
      <c r="O11" s="1486">
        <f>('Operating Account'!Q40/12)-SUM(D11:N11)</f>
        <v>0</v>
      </c>
      <c r="P11" s="1486">
        <f>('Operating Account'!R40/12)-SUM(D11:O11)</f>
        <v>0</v>
      </c>
      <c r="Q11" s="1486">
        <f>('Operating Account'!S40/12)-SUM(D11:P11)</f>
        <v>0</v>
      </c>
      <c r="R11" s="1486">
        <f>('Operating Account'!T40/12)-SUM(D11:Q11)</f>
        <v>0</v>
      </c>
      <c r="S11" s="1486">
        <f>('Operating Account'!U40/12)-SUM(D11:R11)</f>
        <v>0</v>
      </c>
      <c r="T11" s="1486">
        <f>('Operating Account'!V40/12)-SUM(D11:S11)</f>
        <v>0</v>
      </c>
      <c r="U11" s="1486">
        <f>('Operating Account'!W40/12)-SUM(D11:T11)</f>
        <v>0</v>
      </c>
      <c r="V11" s="1486">
        <f>('Operating Account'!X40/12)-SUM(D11:U11)</f>
        <v>0</v>
      </c>
      <c r="W11" s="1486">
        <f>('Operating Account'!Y40/12)-SUM(D11:V11)</f>
        <v>0</v>
      </c>
      <c r="X11" s="1486">
        <f>('Operating Account'!Z40/12)-SUM(D11:W11)</f>
        <v>0</v>
      </c>
      <c r="Y11" s="1486">
        <f>('Operating Account'!AA40/12)-SUM(D11:X11)</f>
        <v>0</v>
      </c>
      <c r="Z11" s="1486">
        <f>('Operating Account'!AB40/12)-SUM(D11:Y11)</f>
        <v>0</v>
      </c>
      <c r="AA11" s="1486">
        <f>('Operating Account'!AC40/12)-SUM(D11:Z11)</f>
        <v>0</v>
      </c>
      <c r="AB11" s="1485">
        <f>-SUM(D11:AA11)</f>
        <v>0</v>
      </c>
      <c r="AC11" s="1484">
        <f t="shared" si="0"/>
        <v>0</v>
      </c>
    </row>
    <row r="12" spans="2:40" x14ac:dyDescent="0.3">
      <c r="B12" s="1489" t="str">
        <f>VLOOKUP("(-) Imputación de Subvencións no Resultado do Exercicio",tabIdiomas26[],MATCH('Indiv. Invoices Comparison'!$J$2,tabIdiomas26[#Headers]),FALSE)</f>
        <v>(-) Allocation of Grants to Profit or Loss for the Year</v>
      </c>
      <c r="C12" s="1486"/>
      <c r="D12" s="1764">
        <f>-('Operating Account'!D14)</f>
        <v>-1680</v>
      </c>
      <c r="E12" s="1486">
        <f>-('Operating Account'!G14)</f>
        <v>0</v>
      </c>
      <c r="F12" s="1486">
        <f>-('Operating Account'!H14)</f>
        <v>0</v>
      </c>
      <c r="G12" s="1486">
        <f>-('Operating Account'!I14)</f>
        <v>0</v>
      </c>
      <c r="H12" s="1486">
        <f>-('Operating Account'!J14)</f>
        <v>0</v>
      </c>
      <c r="I12" s="1486">
        <f>-('Operating Account'!K14)</f>
        <v>0</v>
      </c>
      <c r="J12" s="1486">
        <f>-('Operating Account'!L14)</f>
        <v>0</v>
      </c>
      <c r="K12" s="1486">
        <f>-('Operating Account'!M14)</f>
        <v>0</v>
      </c>
      <c r="L12" s="1486">
        <f>-('Operating Account'!N14)</f>
        <v>0</v>
      </c>
      <c r="M12" s="1486">
        <f>-('Operating Account'!O14)</f>
        <v>0</v>
      </c>
      <c r="N12" s="1486">
        <f>-('Operating Account'!P14)</f>
        <v>0</v>
      </c>
      <c r="O12" s="1486">
        <f>-('Operating Account'!Q14)</f>
        <v>0</v>
      </c>
      <c r="P12" s="1486">
        <f>-('Operating Account'!R14)</f>
        <v>0</v>
      </c>
      <c r="Q12" s="1486">
        <f>-('Operating Account'!S14)</f>
        <v>0</v>
      </c>
      <c r="R12" s="1486">
        <f>-('Operating Account'!T14)</f>
        <v>0</v>
      </c>
      <c r="S12" s="1486">
        <f>-('Operating Account'!U14)</f>
        <v>0</v>
      </c>
      <c r="T12" s="1486">
        <f>-('Operating Account'!V14)</f>
        <v>0</v>
      </c>
      <c r="U12" s="1486">
        <f>-('Operating Account'!W14)</f>
        <v>0</v>
      </c>
      <c r="V12" s="1486">
        <f>-('Operating Account'!X14)</f>
        <v>0</v>
      </c>
      <c r="W12" s="1486">
        <f>-('Operating Account'!Y14)</f>
        <v>0</v>
      </c>
      <c r="X12" s="1486">
        <f>-('Operating Account'!Z14)</f>
        <v>0</v>
      </c>
      <c r="Y12" s="1486">
        <f>-('Operating Account'!AA14)</f>
        <v>0</v>
      </c>
      <c r="Z12" s="1486">
        <f>-('Operating Account'!AB14)</f>
        <v>0</v>
      </c>
      <c r="AA12" s="1486">
        <f>-('Operating Account'!AC14)</f>
        <v>0</v>
      </c>
      <c r="AB12" s="1486">
        <f>-('Operating Account'!AD14)</f>
        <v>0</v>
      </c>
      <c r="AC12" s="1484">
        <f t="shared" si="0"/>
        <v>-1680</v>
      </c>
    </row>
    <row r="13" spans="2:40" x14ac:dyDescent="0.3">
      <c r="B13" s="1489" t="str">
        <f>VLOOKUP("(-) Ingresos Financeiros",tabIdiomas26[],MATCH('Indiv. Invoices Comparison'!$J$2,tabIdiomas26[#Headers]),FALSE)</f>
        <v>(-) Financial Income</v>
      </c>
      <c r="C13" s="1486"/>
      <c r="D13" s="1764">
        <f>-'Operating Account'!D48</f>
        <v>0</v>
      </c>
      <c r="E13" s="1486">
        <f>-'Operating Account'!G48</f>
        <v>0</v>
      </c>
      <c r="F13" s="1486">
        <f>-'Operating Account'!H48</f>
        <v>0</v>
      </c>
      <c r="G13" s="1486">
        <f>-'Operating Account'!I48</f>
        <v>0</v>
      </c>
      <c r="H13" s="1486">
        <f>-'Operating Account'!J48</f>
        <v>0</v>
      </c>
      <c r="I13" s="1486">
        <f>-'Operating Account'!K48</f>
        <v>0</v>
      </c>
      <c r="J13" s="1486">
        <f>-'Operating Account'!L48</f>
        <v>0</v>
      </c>
      <c r="K13" s="1486">
        <f>-'Operating Account'!M48</f>
        <v>0</v>
      </c>
      <c r="L13" s="1486">
        <f>-'Operating Account'!N48</f>
        <v>0</v>
      </c>
      <c r="M13" s="1486">
        <f>-'Operating Account'!O48</f>
        <v>0</v>
      </c>
      <c r="N13" s="1486">
        <f>-'Operating Account'!P48</f>
        <v>0</v>
      </c>
      <c r="O13" s="1486">
        <f>-'Operating Account'!Q48</f>
        <v>0</v>
      </c>
      <c r="P13" s="1486">
        <f>-'Operating Account'!R48</f>
        <v>0</v>
      </c>
      <c r="Q13" s="1486">
        <f>-'Operating Account'!S48</f>
        <v>0</v>
      </c>
      <c r="R13" s="1486">
        <f>-'Operating Account'!T48</f>
        <v>0</v>
      </c>
      <c r="S13" s="1486">
        <f>-'Operating Account'!U48</f>
        <v>0</v>
      </c>
      <c r="T13" s="1486">
        <f>-'Operating Account'!V48</f>
        <v>0</v>
      </c>
      <c r="U13" s="1486">
        <f>-'Operating Account'!W48</f>
        <v>0</v>
      </c>
      <c r="V13" s="1486">
        <f>-'Operating Account'!X48</f>
        <v>0</v>
      </c>
      <c r="W13" s="1486">
        <f>-'Operating Account'!Y48</f>
        <v>0</v>
      </c>
      <c r="X13" s="1486">
        <f>-'Operating Account'!Z48</f>
        <v>0</v>
      </c>
      <c r="Y13" s="1486">
        <f>-'Operating Account'!AA48</f>
        <v>0</v>
      </c>
      <c r="Z13" s="1486">
        <f>-'Operating Account'!AB48</f>
        <v>0</v>
      </c>
      <c r="AA13" s="1486">
        <f>-'Operating Account'!AC48</f>
        <v>0</v>
      </c>
      <c r="AB13" s="1486">
        <f>-'Operating Account'!AD48</f>
        <v>0</v>
      </c>
      <c r="AC13" s="1484">
        <f t="shared" si="0"/>
        <v>0</v>
      </c>
    </row>
    <row r="14" spans="2:40" x14ac:dyDescent="0.3">
      <c r="B14" s="1488" t="str">
        <f>VLOOKUP("(+) Gastos Financeiros (Intereses da Débeda)",tabIdiomas26[],MATCH('Indiv. Invoices Comparison'!$J$2,tabIdiomas26[#Headers]),FALSE)</f>
        <v>(+) Financial Expenses (Interest on Debt)</v>
      </c>
      <c r="C14" s="1486"/>
      <c r="D14" s="1764">
        <f>'Operating Account'!D49</f>
        <v>0</v>
      </c>
      <c r="E14" s="1486">
        <f>'Operating Account'!G49</f>
        <v>0</v>
      </c>
      <c r="F14" s="1486">
        <f>'Operating Account'!H49</f>
        <v>0</v>
      </c>
      <c r="G14" s="1486">
        <f>'Operating Account'!I49</f>
        <v>0</v>
      </c>
      <c r="H14" s="1486">
        <f>'Operating Account'!J49</f>
        <v>0</v>
      </c>
      <c r="I14" s="1486">
        <f>'Operating Account'!K49</f>
        <v>0</v>
      </c>
      <c r="J14" s="1486">
        <f>'Operating Account'!L49</f>
        <v>0</v>
      </c>
      <c r="K14" s="1486">
        <f>'Operating Account'!M49</f>
        <v>0</v>
      </c>
      <c r="L14" s="1486">
        <f>'Operating Account'!N49</f>
        <v>0</v>
      </c>
      <c r="M14" s="1486">
        <f>'Operating Account'!O49</f>
        <v>0</v>
      </c>
      <c r="N14" s="1486">
        <f>'Operating Account'!P49</f>
        <v>0</v>
      </c>
      <c r="O14" s="1486">
        <f>'Operating Account'!Q49</f>
        <v>0</v>
      </c>
      <c r="P14" s="1486">
        <f>'Operating Account'!R49</f>
        <v>0</v>
      </c>
      <c r="Q14" s="1486">
        <f>'Operating Account'!S49</f>
        <v>0</v>
      </c>
      <c r="R14" s="1486">
        <f>'Operating Account'!T49</f>
        <v>0</v>
      </c>
      <c r="S14" s="1486">
        <f>'Operating Account'!U49</f>
        <v>0</v>
      </c>
      <c r="T14" s="1486">
        <f>'Operating Account'!V49</f>
        <v>0</v>
      </c>
      <c r="U14" s="1486">
        <f>'Operating Account'!W49</f>
        <v>0</v>
      </c>
      <c r="V14" s="1486">
        <f>'Operating Account'!X49</f>
        <v>0</v>
      </c>
      <c r="W14" s="1486">
        <f>'Operating Account'!Y49</f>
        <v>0</v>
      </c>
      <c r="X14" s="1486">
        <f>'Operating Account'!Z49</f>
        <v>0</v>
      </c>
      <c r="Y14" s="1486">
        <f>'Operating Account'!AA49</f>
        <v>0</v>
      </c>
      <c r="Z14" s="1486">
        <f>'Operating Account'!AB49</f>
        <v>0</v>
      </c>
      <c r="AA14" s="1486">
        <f>'Operating Account'!AC49</f>
        <v>0</v>
      </c>
      <c r="AB14" s="1486">
        <f>'Operating Account'!AD49</f>
        <v>0</v>
      </c>
      <c r="AC14" s="1484">
        <f t="shared" si="0"/>
        <v>0</v>
      </c>
    </row>
    <row r="15" spans="2:40" ht="15" thickBot="1" x14ac:dyDescent="0.35">
      <c r="B15" s="1487" t="str">
        <f>VLOOKUP("(-) / (+) Outros Ingresos e Gastos que Non Supoñen Fluxo de Efectivo",tabIdiomas26[],MATCH('Indiv. Invoices Comparison'!$J$2,tabIdiomas26[#Headers]),FALSE)</f>
        <v>(-) / (+) Other Non-Cash Revenues and Expenses</v>
      </c>
      <c r="C15" s="1486"/>
      <c r="D15" s="1764"/>
      <c r="E15" s="1486"/>
      <c r="F15" s="1486"/>
      <c r="G15" s="1486"/>
      <c r="H15" s="1486"/>
      <c r="I15" s="1486"/>
      <c r="J15" s="1486"/>
      <c r="K15" s="1486"/>
      <c r="L15" s="1486"/>
      <c r="M15" s="1486"/>
      <c r="N15" s="1486"/>
      <c r="O15" s="1486"/>
      <c r="P15" s="1486"/>
      <c r="Q15" s="1486"/>
      <c r="R15" s="1486"/>
      <c r="S15" s="1486"/>
      <c r="T15" s="1486"/>
      <c r="U15" s="1486"/>
      <c r="V15" s="1486"/>
      <c r="W15" s="1486"/>
      <c r="X15" s="1486"/>
      <c r="Y15" s="1486"/>
      <c r="Z15" s="1486"/>
      <c r="AA15" s="1486"/>
      <c r="AB15" s="1485"/>
      <c r="AC15" s="1484">
        <f t="shared" si="0"/>
        <v>0</v>
      </c>
    </row>
    <row r="16" spans="2:40" ht="30" thickTop="1" thickBot="1" x14ac:dyDescent="0.35">
      <c r="B16" s="1483" t="str">
        <f>VLOOKUP("(=) Fluxo de Caixa Operativo ou das Actividades de Explotación [A]",tabIdiomas26[],MATCH('Indiv. Invoices Comparison'!$J$2,tabIdiomas26[#Headers]),FALSE)</f>
        <v>(=) Operating Cash Flow or Cash Flow from Operating Activities [A].</v>
      </c>
      <c r="C16" s="1482">
        <f>SUM(C8:C15)</f>
        <v>0</v>
      </c>
      <c r="D16" s="1480">
        <f t="shared" ref="D16:AB16" si="1">SUM(D8:D15)</f>
        <v>5878.2058333333334</v>
      </c>
      <c r="E16" s="1481" t="e">
        <f t="shared" si="1"/>
        <v>#N/A</v>
      </c>
      <c r="F16" s="1481" t="e">
        <f t="shared" si="1"/>
        <v>#N/A</v>
      </c>
      <c r="G16" s="1481" t="e">
        <f t="shared" si="1"/>
        <v>#N/A</v>
      </c>
      <c r="H16" s="1481" t="e">
        <f t="shared" si="1"/>
        <v>#N/A</v>
      </c>
      <c r="I16" s="1481" t="e">
        <f t="shared" si="1"/>
        <v>#N/A</v>
      </c>
      <c r="J16" s="1481" t="e">
        <f t="shared" si="1"/>
        <v>#N/A</v>
      </c>
      <c r="K16" s="1481" t="e">
        <f t="shared" si="1"/>
        <v>#N/A</v>
      </c>
      <c r="L16" s="1481" t="e">
        <f t="shared" si="1"/>
        <v>#N/A</v>
      </c>
      <c r="M16" s="1481" t="e">
        <f t="shared" si="1"/>
        <v>#N/A</v>
      </c>
      <c r="N16" s="1481" t="e">
        <f t="shared" si="1"/>
        <v>#N/A</v>
      </c>
      <c r="O16" s="1481" t="e">
        <f t="shared" si="1"/>
        <v>#N/A</v>
      </c>
      <c r="P16" s="1481" t="e">
        <f t="shared" si="1"/>
        <v>#N/A</v>
      </c>
      <c r="Q16" s="1481" t="e">
        <f t="shared" si="1"/>
        <v>#N/A</v>
      </c>
      <c r="R16" s="1481" t="e">
        <f t="shared" si="1"/>
        <v>#N/A</v>
      </c>
      <c r="S16" s="1481" t="e">
        <f t="shared" si="1"/>
        <v>#N/A</v>
      </c>
      <c r="T16" s="1481" t="e">
        <f t="shared" si="1"/>
        <v>#N/A</v>
      </c>
      <c r="U16" s="1481" t="e">
        <f t="shared" si="1"/>
        <v>#N/A</v>
      </c>
      <c r="V16" s="1481" t="e">
        <f t="shared" si="1"/>
        <v>#N/A</v>
      </c>
      <c r="W16" s="1481" t="e">
        <f t="shared" si="1"/>
        <v>#N/A</v>
      </c>
      <c r="X16" s="1481" t="e">
        <f t="shared" si="1"/>
        <v>#N/A</v>
      </c>
      <c r="Y16" s="1481" t="e">
        <f t="shared" si="1"/>
        <v>#N/A</v>
      </c>
      <c r="Z16" s="1481" t="e">
        <f t="shared" si="1"/>
        <v>#N/A</v>
      </c>
      <c r="AA16" s="1481" t="e">
        <f t="shared" si="1"/>
        <v>#N/A</v>
      </c>
      <c r="AB16" s="1480" t="e">
        <f t="shared" si="1"/>
        <v>#N/A</v>
      </c>
      <c r="AC16" s="1479" t="e">
        <f t="shared" si="0"/>
        <v>#N/A</v>
      </c>
    </row>
    <row r="17" spans="2:29" ht="15.6" thickTop="1" thickBot="1" x14ac:dyDescent="0.35">
      <c r="B17" s="1478" t="str">
        <f>VLOOKUP("Fluxo de Caixa das Actividades de Investimento",tabIdiomas26[],MATCH('Indiv. Invoices Comparison'!$J$2,tabIdiomas26[#Headers]),FALSE)</f>
        <v>Cash Flow from Investing Activities</v>
      </c>
      <c r="C17" s="1477"/>
      <c r="D17" s="1765"/>
      <c r="E17" s="1476"/>
      <c r="F17" s="1476"/>
      <c r="G17" s="1476"/>
      <c r="H17" s="1476"/>
      <c r="I17" s="1476"/>
      <c r="J17" s="1476"/>
      <c r="K17" s="1476"/>
      <c r="L17" s="1476"/>
      <c r="M17" s="1476"/>
      <c r="N17" s="1476"/>
      <c r="O17" s="1476"/>
      <c r="P17" s="1476"/>
      <c r="Q17" s="1476"/>
      <c r="R17" s="1476"/>
      <c r="S17" s="1476"/>
      <c r="T17" s="1476"/>
      <c r="U17" s="1476"/>
      <c r="V17" s="1476"/>
      <c r="W17" s="1476"/>
      <c r="X17" s="1476"/>
      <c r="Y17" s="1476"/>
      <c r="Z17" s="1476"/>
      <c r="AA17" s="1476"/>
      <c r="AB17" s="1476"/>
      <c r="AC17" s="1475"/>
    </row>
    <row r="18" spans="2:29" x14ac:dyDescent="0.3">
      <c r="B18" s="1474" t="str">
        <f>VLOOKUP("(-) Pagos por Inversións Efectuadas",tabIdiomas26[],MATCH('Indiv. Invoices Comparison'!$J$2,tabIdiomas26[#Headers]),FALSE)</f>
        <v>(-) Investment Payments Made</v>
      </c>
      <c r="C18" s="1470" t="e">
        <f>-('Hipóteses xerais (2)'!$C$21)</f>
        <v>#N/A</v>
      </c>
      <c r="D18" s="1766">
        <f>-SUM('General Real Data (Obs.)'!$E$215:$E$218)</f>
        <v>-70150</v>
      </c>
      <c r="E18" s="1470"/>
      <c r="F18" s="1470"/>
      <c r="G18" s="1470"/>
      <c r="H18" s="1470"/>
      <c r="I18" s="1470"/>
      <c r="J18" s="1470"/>
      <c r="K18" s="1470"/>
      <c r="L18" s="1470"/>
      <c r="M18" s="1473"/>
      <c r="N18" s="1470"/>
      <c r="O18" s="1470"/>
      <c r="P18" s="1470"/>
      <c r="Q18" s="1470"/>
      <c r="R18" s="1470">
        <f>-'Hipóteses xerais (2)'!$C$76</f>
        <v>-14000</v>
      </c>
      <c r="S18" s="1470"/>
      <c r="T18" s="1470"/>
      <c r="U18" s="1470"/>
      <c r="V18" s="1470"/>
      <c r="W18" s="1470"/>
      <c r="X18" s="1470"/>
      <c r="Y18" s="1470"/>
      <c r="Z18" s="1470"/>
      <c r="AA18" s="1470"/>
      <c r="AB18" s="1470"/>
      <c r="AC18" s="1472" t="e">
        <f>SUM(C18:AB18)</f>
        <v>#N/A</v>
      </c>
    </row>
    <row r="19" spans="2:29" ht="15" thickBot="1" x14ac:dyDescent="0.35">
      <c r="B19" s="1471" t="str">
        <f>VLOOKUP("(+) Cobros por Desinversións Efectuadas",tabIdiomas26[],MATCH('Indiv. Invoices Comparison'!$J$2,tabIdiomas26[#Headers]),FALSE)</f>
        <v>(+) Proceeds from Divestitures Made</v>
      </c>
      <c r="C19" s="1470"/>
      <c r="D19" s="1766"/>
      <c r="E19" s="1470"/>
      <c r="F19" s="1470"/>
      <c r="G19" s="1470"/>
      <c r="H19" s="1470"/>
      <c r="I19" s="1470"/>
      <c r="J19" s="1470"/>
      <c r="K19" s="1470"/>
      <c r="L19" s="1470"/>
      <c r="M19" s="1470"/>
      <c r="N19" s="1470"/>
      <c r="O19" s="1470"/>
      <c r="P19" s="1470"/>
      <c r="Q19" s="1470"/>
      <c r="R19" s="1470"/>
      <c r="S19" s="1470"/>
      <c r="T19" s="1470"/>
      <c r="U19" s="1470"/>
      <c r="V19" s="1470"/>
      <c r="W19" s="1470"/>
      <c r="X19" s="1470"/>
      <c r="Y19" s="1470"/>
      <c r="Z19" s="1470"/>
      <c r="AA19" s="1470"/>
      <c r="AB19" s="1470"/>
      <c r="AC19" s="1469">
        <f>SUM(C19:AB19)</f>
        <v>0</v>
      </c>
    </row>
    <row r="20" spans="2:29" ht="15" thickBot="1" x14ac:dyDescent="0.35">
      <c r="B20" s="1468" t="str">
        <f>VLOOKUP("(=) Fluxo de Caixa das Actividades de Investimento [B]",tabIdiomas26[],MATCH('Indiv. Invoices Comparison'!$J$2,tabIdiomas26[#Headers]),FALSE)</f>
        <v>(=) Cash Flow from Investing Activities [B]</v>
      </c>
      <c r="C20" s="1467" t="e">
        <f t="shared" ref="C20:AB20" si="2">SUM(C18:C19)</f>
        <v>#N/A</v>
      </c>
      <c r="D20" s="1767">
        <f>SUM(D18:D19)</f>
        <v>-70150</v>
      </c>
      <c r="E20" s="1467">
        <f t="shared" si="2"/>
        <v>0</v>
      </c>
      <c r="F20" s="1467">
        <f t="shared" si="2"/>
        <v>0</v>
      </c>
      <c r="G20" s="1467">
        <f t="shared" si="2"/>
        <v>0</v>
      </c>
      <c r="H20" s="1467">
        <f t="shared" si="2"/>
        <v>0</v>
      </c>
      <c r="I20" s="1467">
        <f t="shared" si="2"/>
        <v>0</v>
      </c>
      <c r="J20" s="1467">
        <f t="shared" si="2"/>
        <v>0</v>
      </c>
      <c r="K20" s="1467">
        <f t="shared" si="2"/>
        <v>0</v>
      </c>
      <c r="L20" s="1467">
        <f t="shared" si="2"/>
        <v>0</v>
      </c>
      <c r="M20" s="1467">
        <f t="shared" si="2"/>
        <v>0</v>
      </c>
      <c r="N20" s="1467">
        <f t="shared" si="2"/>
        <v>0</v>
      </c>
      <c r="O20" s="1467">
        <f t="shared" si="2"/>
        <v>0</v>
      </c>
      <c r="P20" s="1467">
        <f t="shared" si="2"/>
        <v>0</v>
      </c>
      <c r="Q20" s="1467">
        <f t="shared" si="2"/>
        <v>0</v>
      </c>
      <c r="R20" s="1467">
        <f t="shared" si="2"/>
        <v>-14000</v>
      </c>
      <c r="S20" s="1467">
        <f t="shared" si="2"/>
        <v>0</v>
      </c>
      <c r="T20" s="1467">
        <f t="shared" si="2"/>
        <v>0</v>
      </c>
      <c r="U20" s="1467">
        <f t="shared" si="2"/>
        <v>0</v>
      </c>
      <c r="V20" s="1467">
        <f t="shared" si="2"/>
        <v>0</v>
      </c>
      <c r="W20" s="1467">
        <f t="shared" si="2"/>
        <v>0</v>
      </c>
      <c r="X20" s="1467">
        <f t="shared" si="2"/>
        <v>0</v>
      </c>
      <c r="Y20" s="1467">
        <f t="shared" si="2"/>
        <v>0</v>
      </c>
      <c r="Z20" s="1467">
        <f t="shared" si="2"/>
        <v>0</v>
      </c>
      <c r="AA20" s="1467">
        <f t="shared" si="2"/>
        <v>0</v>
      </c>
      <c r="AB20" s="1467">
        <f t="shared" si="2"/>
        <v>0</v>
      </c>
      <c r="AC20" s="1466" t="e">
        <f>SUM(C20:AB20)</f>
        <v>#N/A</v>
      </c>
    </row>
    <row r="21" spans="2:29" ht="29.4" thickBot="1" x14ac:dyDescent="0.35">
      <c r="B21" s="1465" t="str">
        <f>VLOOKUP("Fluxo de Caixa das Actividades de Financiamento (Recursos Propios e Débeda)",tabIdiomas26[],MATCH('Indiv. Invoices Comparison'!$J$2,tabIdiomas26[#Headers]),FALSE)</f>
        <v>Cash Flow from Financing Activities (Shareholders' Equity and Debt)</v>
      </c>
      <c r="C21" s="1001"/>
      <c r="D21" s="1768"/>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457"/>
    </row>
    <row r="22" spans="2:29" x14ac:dyDescent="0.3">
      <c r="B22" s="1006" t="str">
        <f>VLOOKUP("(+) Emisión de Instrumentos de Patrimonio (Accións ou Participacións)",tabIdiomas26[],MATCH('Indiv. Invoices Comparison'!$J$2,tabIdiomas26[#Headers]),FALSE)</f>
        <v>(+) Issuance of Equity Instruments (Shares or Participations)</v>
      </c>
      <c r="C22" s="1459" t="e">
        <f>'Hipóteses xerais (2)'!$F$35</f>
        <v>#N/A</v>
      </c>
      <c r="D22" s="1769">
        <f>IF('General Real Data (Obs.)'!E209&gt;0, 'General Real Data (Obs.)'!E209,0)</f>
        <v>70150</v>
      </c>
      <c r="E22" s="1459"/>
      <c r="F22" s="1459"/>
      <c r="G22" s="1459"/>
      <c r="H22" s="1459"/>
      <c r="I22" s="1459"/>
      <c r="J22" s="1459"/>
      <c r="K22" s="1459"/>
      <c r="L22" s="1459"/>
      <c r="M22" s="1459"/>
      <c r="N22" s="1459"/>
      <c r="O22" s="1459"/>
      <c r="P22" s="1459"/>
      <c r="Q22" s="1459"/>
      <c r="R22" s="1459"/>
      <c r="S22" s="1459"/>
      <c r="T22" s="1459"/>
      <c r="U22" s="1459"/>
      <c r="V22" s="1459"/>
      <c r="W22" s="1459"/>
      <c r="X22" s="1459"/>
      <c r="Y22" s="1459"/>
      <c r="Z22" s="1459"/>
      <c r="AA22" s="1459"/>
      <c r="AB22" s="1459"/>
      <c r="AC22" s="1458" t="e">
        <f t="shared" ref="AC22:AC31" si="3">SUM(C22:AB22)</f>
        <v>#N/A</v>
      </c>
    </row>
    <row r="23" spans="2:29" x14ac:dyDescent="0.3">
      <c r="B23" s="1461" t="str">
        <f>VLOOKUP("(-) Amortización de Instrumentos de Patrimonio (Accións ou Participacións)",tabIdiomas26[],MATCH('Indiv. Invoices Comparison'!$J$2,tabIdiomas26[#Headers]),FALSE)</f>
        <v>(-) Amortization of Equity Instruments (Shares or Participations)</v>
      </c>
      <c r="C23" s="1459"/>
      <c r="D23" s="1769">
        <f>IF('General Real Data (Obs.)'!E209&lt;0,'General Real Data (Obs.)'!E209,0)</f>
        <v>0</v>
      </c>
      <c r="E23" s="1459"/>
      <c r="F23" s="1459"/>
      <c r="G23" s="1459"/>
      <c r="H23" s="1459"/>
      <c r="I23" s="1459"/>
      <c r="J23" s="1459"/>
      <c r="K23" s="1459"/>
      <c r="L23" s="1459"/>
      <c r="M23" s="1459"/>
      <c r="N23" s="1459"/>
      <c r="O23" s="1459"/>
      <c r="P23" s="1459"/>
      <c r="Q23" s="1459"/>
      <c r="R23" s="1459"/>
      <c r="S23" s="1459"/>
      <c r="T23" s="1459"/>
      <c r="U23" s="1459"/>
      <c r="V23" s="1459"/>
      <c r="W23" s="1459"/>
      <c r="X23" s="1459"/>
      <c r="Y23" s="1459"/>
      <c r="Z23" s="1459"/>
      <c r="AA23" s="1459"/>
      <c r="AB23" s="1459"/>
      <c r="AC23" s="1458">
        <f t="shared" si="3"/>
        <v>0</v>
      </c>
    </row>
    <row r="24" spans="2:29" x14ac:dyDescent="0.3">
      <c r="B24" s="1461" t="str">
        <f>VLOOKUP("(+) Subvencións Recibidas",tabIdiomas26[],MATCH('Indiv. Invoices Comparison'!$J$2,tabIdiomas26[#Headers]),FALSE)</f>
        <v>(+) Grants Received</v>
      </c>
      <c r="C24" s="1459"/>
      <c r="D24" s="1769">
        <f>IF('General Real Data (Obs.)'!E211&gt;0,'General Real Data (Obs.)'!E211,0)</f>
        <v>42000</v>
      </c>
      <c r="E24" s="1459"/>
      <c r="F24" s="1459"/>
      <c r="G24" s="1459"/>
      <c r="H24" s="1459"/>
      <c r="I24" s="1459"/>
      <c r="J24" s="1459"/>
      <c r="K24" s="1459"/>
      <c r="L24" s="1459"/>
      <c r="M24" s="1459"/>
      <c r="N24" s="1459"/>
      <c r="O24" s="1459"/>
      <c r="P24" s="1459"/>
      <c r="Q24" s="1459"/>
      <c r="R24" s="1459"/>
      <c r="S24" s="1459"/>
      <c r="T24" s="1459"/>
      <c r="U24" s="1459"/>
      <c r="V24" s="1459"/>
      <c r="W24" s="1459"/>
      <c r="X24" s="1459"/>
      <c r="Y24" s="1459"/>
      <c r="Z24" s="1459"/>
      <c r="AA24" s="1459"/>
      <c r="AB24" s="1459"/>
      <c r="AC24" s="1458">
        <f t="shared" si="3"/>
        <v>42000</v>
      </c>
    </row>
    <row r="25" spans="2:29" x14ac:dyDescent="0.3">
      <c r="B25" s="1461" t="str">
        <f>VLOOKUP("(+) Concesión de Préstamo",tabIdiomas26[],MATCH('Indiv. Invoices Comparison'!$J$2,tabIdiomas26[#Headers]),FALSE)</f>
        <v>(+) Loan Concession</v>
      </c>
      <c r="C25" s="1459" t="e">
        <f>'Hipóteses xerais (2)'!$F$12</f>
        <v>#N/A</v>
      </c>
      <c r="D25" s="1769">
        <f>IF('General Real Data (Obs.)'!E210&gt;0,'General Real Data (Obs.)'!E210,0)</f>
        <v>0</v>
      </c>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8" t="e">
        <f t="shared" si="3"/>
        <v>#N/A</v>
      </c>
    </row>
    <row r="26" spans="2:29" x14ac:dyDescent="0.3">
      <c r="B26" s="1461" t="str">
        <f>VLOOKUP("(-) Amortización de préstamo",tabIdiomas26[],MATCH('Indiv. Invoices Comparison'!$J$2,tabIdiomas26[#Headers]),FALSE)</f>
        <v>(-) Loan amortization</v>
      </c>
      <c r="C26" s="1463"/>
      <c r="D26" s="1770">
        <f>IF('General Real Data (Obs.)'!E210&lt;0,'General Real Data (Obs.)'!E210,0)</f>
        <v>0</v>
      </c>
      <c r="E26" s="1464">
        <f>-INDEX('x Financiamento'!$D$12:$D$26,'Cash Flow Statement'!E5)</f>
        <v>0</v>
      </c>
      <c r="F26" s="1464">
        <f>-INDEX('x Financiamento'!$D$12:$D$26,'Cash Flow Statement'!F5)</f>
        <v>0</v>
      </c>
      <c r="G26" s="1464">
        <f>-INDEX('x Financiamento'!$D$12:$D$26,'Cash Flow Statement'!G5)</f>
        <v>0</v>
      </c>
      <c r="H26" s="1464">
        <f>-INDEX('x Financiamento'!$D$12:$D$26,'Cash Flow Statement'!H5)</f>
        <v>0</v>
      </c>
      <c r="I26" s="1464">
        <f>-INDEX('x Financiamento'!$D$12:$D$26,'Cash Flow Statement'!I5)</f>
        <v>0</v>
      </c>
      <c r="J26" s="1464">
        <f>-INDEX('x Financiamento'!$D$12:$D$26,'Cash Flow Statement'!J5)</f>
        <v>0</v>
      </c>
      <c r="K26" s="1464">
        <f>-INDEX('x Financiamento'!$D$12:$D$26,'Cash Flow Statement'!K5)</f>
        <v>0</v>
      </c>
      <c r="L26" s="1464">
        <f>-INDEX('x Financiamento'!$D$12:$D$26,'Cash Flow Statement'!L5)</f>
        <v>0</v>
      </c>
      <c r="M26" s="1464">
        <f>-INDEX('x Financiamento'!$D$12:$D$26,'Cash Flow Statement'!M5)</f>
        <v>0</v>
      </c>
      <c r="N26" s="1464">
        <f>-INDEX('x Financiamento'!$D$12:$D$26,'Cash Flow Statement'!N5)</f>
        <v>0</v>
      </c>
      <c r="O26" s="1464">
        <f>-INDEX('x Financiamento'!$D$12:$D$26,'Cash Flow Statement'!O5)</f>
        <v>0</v>
      </c>
      <c r="P26" s="1464">
        <f>-INDEX('x Financiamento'!$D$12:$D$26,'Cash Flow Statement'!P5)</f>
        <v>0</v>
      </c>
      <c r="Q26" s="1464">
        <f>-INDEX('x Financiamento'!$D$12:$D$26,'Cash Flow Statement'!Q5)</f>
        <v>0</v>
      </c>
      <c r="R26" s="1464">
        <f>-INDEX('x Financiamento'!$D$12:$D$26,'Cash Flow Statement'!R5)</f>
        <v>0</v>
      </c>
      <c r="S26" s="1463">
        <v>0</v>
      </c>
      <c r="T26" s="1463">
        <v>0</v>
      </c>
      <c r="U26" s="1463">
        <v>0</v>
      </c>
      <c r="V26" s="1463">
        <v>0</v>
      </c>
      <c r="W26" s="1463">
        <v>0</v>
      </c>
      <c r="X26" s="1463">
        <v>0</v>
      </c>
      <c r="Y26" s="1463">
        <v>0</v>
      </c>
      <c r="Z26" s="1463">
        <v>0</v>
      </c>
      <c r="AA26" s="1463">
        <v>0</v>
      </c>
      <c r="AB26" s="1463">
        <v>0</v>
      </c>
      <c r="AC26" s="1462">
        <f t="shared" si="3"/>
        <v>0</v>
      </c>
    </row>
    <row r="27" spans="2:29" x14ac:dyDescent="0.3">
      <c r="B27" s="1461" t="str">
        <f>VLOOKUP("(-) Pagos por Remuneración de Débeda (Intereses Préstamo)",tabIdiomas26[],MATCH('Indiv. Invoices Comparison'!$J$2,tabIdiomas26[#Headers]),FALSE)</f>
        <v>(-) Debt Remuneration Payments (Loan Interest)</v>
      </c>
      <c r="C27" s="1459"/>
      <c r="D27" s="1771">
        <f>-'Operating Account'!D49</f>
        <v>0</v>
      </c>
      <c r="E27" s="1460">
        <f>-'Operating Account'!G49</f>
        <v>0</v>
      </c>
      <c r="F27" s="1460">
        <f>-'Operating Account'!H49</f>
        <v>0</v>
      </c>
      <c r="G27" s="1460">
        <f>-'Operating Account'!I49</f>
        <v>0</v>
      </c>
      <c r="H27" s="1460">
        <f>-'Operating Account'!J49</f>
        <v>0</v>
      </c>
      <c r="I27" s="1460">
        <f>-'Operating Account'!K49</f>
        <v>0</v>
      </c>
      <c r="J27" s="1460">
        <f>-'Operating Account'!L49</f>
        <v>0</v>
      </c>
      <c r="K27" s="1460">
        <f>-'Operating Account'!M49</f>
        <v>0</v>
      </c>
      <c r="L27" s="1460">
        <f>-'Operating Account'!N49</f>
        <v>0</v>
      </c>
      <c r="M27" s="1460">
        <f>-'Operating Account'!O49</f>
        <v>0</v>
      </c>
      <c r="N27" s="1460">
        <f>-'Operating Account'!P49</f>
        <v>0</v>
      </c>
      <c r="O27" s="1460">
        <f>-'Operating Account'!Q49</f>
        <v>0</v>
      </c>
      <c r="P27" s="1460">
        <f>-'Operating Account'!R49</f>
        <v>0</v>
      </c>
      <c r="Q27" s="1460">
        <f>-'Operating Account'!S49</f>
        <v>0</v>
      </c>
      <c r="R27" s="1460">
        <f>-'Operating Account'!T49</f>
        <v>0</v>
      </c>
      <c r="S27" s="1460">
        <f>-'Operating Account'!U49</f>
        <v>0</v>
      </c>
      <c r="T27" s="1460">
        <f>-'Operating Account'!V49</f>
        <v>0</v>
      </c>
      <c r="U27" s="1460">
        <f>-'Operating Account'!W49</f>
        <v>0</v>
      </c>
      <c r="V27" s="1460">
        <f>-'Operating Account'!X49</f>
        <v>0</v>
      </c>
      <c r="W27" s="1460">
        <f>-'Operating Account'!Y49</f>
        <v>0</v>
      </c>
      <c r="X27" s="1460">
        <f>-'Operating Account'!Z49</f>
        <v>0</v>
      </c>
      <c r="Y27" s="1460">
        <f>-'Operating Account'!AA49</f>
        <v>0</v>
      </c>
      <c r="Z27" s="1460">
        <f>-'Operating Account'!AB49</f>
        <v>0</v>
      </c>
      <c r="AA27" s="1460">
        <f>-'Operating Account'!AC49</f>
        <v>0</v>
      </c>
      <c r="AB27" s="1460">
        <f>-'Operating Account'!AD49</f>
        <v>0</v>
      </c>
      <c r="AC27" s="1458">
        <f t="shared" si="3"/>
        <v>0</v>
      </c>
    </row>
    <row r="28" spans="2:29" ht="15" thickBot="1" x14ac:dyDescent="0.35">
      <c r="B28" s="1004" t="str">
        <f>VLOOKUP("(-) Pagos por Remuneración de Instrumentos de Patrimonio (Dividendos)",tabIdiomas26[],MATCH('Indiv. Invoices Comparison'!$J$2,tabIdiomas26[#Headers]),FALSE)</f>
        <v>(-) Remuneration Payments for Equity Instruments (Dividends)</v>
      </c>
      <c r="C28" s="1459"/>
      <c r="D28" s="1769">
        <f>IF(B63="Si",(-('Operating Account'!D6+'Operating Account'!D7)),0)</f>
        <v>-6699</v>
      </c>
      <c r="E28" s="1459" t="e">
        <f>IF('Hipóteses Xerais'!$B$34="Si",(-('Operating Account'!G6+'Operating Account'!G7)),0)</f>
        <v>#N/A</v>
      </c>
      <c r="F28" s="1459" t="e">
        <f>IF('Hipóteses Xerais'!$B$34="Si",(-('Operating Account'!H6+'Operating Account'!H7)),0)</f>
        <v>#N/A</v>
      </c>
      <c r="G28" s="1459" t="e">
        <f>IF('Hipóteses Xerais'!$B$34="Si",(-('Operating Account'!I6+'Operating Account'!I7)),0)</f>
        <v>#N/A</v>
      </c>
      <c r="H28" s="1459" t="e">
        <f>IF('Hipóteses Xerais'!$B$34="Si",(-('Operating Account'!J6+'Operating Account'!J7)),0)</f>
        <v>#N/A</v>
      </c>
      <c r="I28" s="1459" t="e">
        <f>IF('Hipóteses Xerais'!$B$34="Si",(-('Operating Account'!K6+'Operating Account'!K7)),0)</f>
        <v>#N/A</v>
      </c>
      <c r="J28" s="1459" t="e">
        <f>IF('Hipóteses Xerais'!$B$34="Si",(-('Operating Account'!L6+'Operating Account'!L7)),0)</f>
        <v>#N/A</v>
      </c>
      <c r="K28" s="1459" t="e">
        <f>IF('Hipóteses Xerais'!$B$34="Si",(-('Operating Account'!M6+'Operating Account'!M7)),0)</f>
        <v>#N/A</v>
      </c>
      <c r="L28" s="1459" t="e">
        <f>IF('Hipóteses Xerais'!$B$34="Si",(-('Operating Account'!N6+'Operating Account'!N7)),0)</f>
        <v>#N/A</v>
      </c>
      <c r="M28" s="1459" t="e">
        <f>IF('Hipóteses Xerais'!$B$34="Si",(-('Operating Account'!O6+'Operating Account'!O7)),0)</f>
        <v>#N/A</v>
      </c>
      <c r="N28" s="1459" t="e">
        <f>IF('Hipóteses Xerais'!$B$34="Si",(-('Operating Account'!P6+'Operating Account'!P7)),0)</f>
        <v>#N/A</v>
      </c>
      <c r="O28" s="1459" t="e">
        <f>IF('Hipóteses Xerais'!$B$34="Si",(-('Operating Account'!Q6+'Operating Account'!Q7)),0)</f>
        <v>#N/A</v>
      </c>
      <c r="P28" s="1459" t="e">
        <f>IF('Hipóteses Xerais'!$B$34="Si",(-('Operating Account'!R6+'Operating Account'!R7)),0)</f>
        <v>#N/A</v>
      </c>
      <c r="Q28" s="1459" t="e">
        <f>IF('Hipóteses Xerais'!$B$34="Si",(-('Operating Account'!S6+'Operating Account'!S7)),0)</f>
        <v>#N/A</v>
      </c>
      <c r="R28" s="1459" t="e">
        <f>IF('Hipóteses Xerais'!$B$34="Si",(-('Operating Account'!T6+'Operating Account'!T7)),0)</f>
        <v>#N/A</v>
      </c>
      <c r="S28" s="1459" t="e">
        <f>IF('Hipóteses Xerais'!$B$34="Si",(-('Operating Account'!U6+'Operating Account'!U7)),0)</f>
        <v>#N/A</v>
      </c>
      <c r="T28" s="1459" t="e">
        <f>IF('Hipóteses Xerais'!$B$34="Si",(-('Operating Account'!V6+'Operating Account'!V7)),0)</f>
        <v>#N/A</v>
      </c>
      <c r="U28" s="1459" t="e">
        <f>IF('Hipóteses Xerais'!$B$34="Si",(-('Operating Account'!W6+'Operating Account'!W7)),0)</f>
        <v>#N/A</v>
      </c>
      <c r="V28" s="1459" t="e">
        <f>IF('Hipóteses Xerais'!$B$34="Si",(-('Operating Account'!X6+'Operating Account'!X7)),0)</f>
        <v>#N/A</v>
      </c>
      <c r="W28" s="1459" t="e">
        <f>IF('Hipóteses Xerais'!$B$34="Si",(-('Operating Account'!Y6+'Operating Account'!Y7)),0)</f>
        <v>#N/A</v>
      </c>
      <c r="X28" s="1459" t="e">
        <f>IF('Hipóteses Xerais'!$B$34="Si",(-('Operating Account'!Z6+'Operating Account'!Z7)),0)</f>
        <v>#N/A</v>
      </c>
      <c r="Y28" s="1459" t="e">
        <f>IF('Hipóteses Xerais'!$B$34="Si",(-('Operating Account'!AA6+'Operating Account'!AA7)),0)</f>
        <v>#N/A</v>
      </c>
      <c r="Z28" s="1459" t="e">
        <f>IF('Hipóteses Xerais'!$B$34="Si",(-('Operating Account'!AB6+'Operating Account'!AB7)),0)</f>
        <v>#N/A</v>
      </c>
      <c r="AA28" s="1459" t="e">
        <f>IF('Hipóteses Xerais'!$B$34="Si",(-('Operating Account'!AC6+'Operating Account'!AC7)),0)</f>
        <v>#N/A</v>
      </c>
      <c r="AB28" s="1459" t="e">
        <f>IF('Hipóteses Xerais'!$B$34="Si",(-('Operating Account'!AD6+'Operating Account'!AD7)),0)</f>
        <v>#N/A</v>
      </c>
      <c r="AC28" s="1458" t="e">
        <f t="shared" si="3"/>
        <v>#N/A</v>
      </c>
    </row>
    <row r="29" spans="2:29" ht="15" thickBot="1" x14ac:dyDescent="0.35">
      <c r="B29" s="1002" t="str">
        <f>VLOOKUP("(=) Fluxo de Caixa das Actividades de Financiamento (Recursos Propios e Débeda) [C]",tabIdiomas26[],MATCH('Indiv. Invoices Comparison'!$J$2,tabIdiomas26[#Headers]),FALSE)</f>
        <v>(=) Cash Flow from Financing Activities (Equity and Debt) [C]</v>
      </c>
      <c r="C29" s="1001" t="e">
        <f t="shared" ref="C29:AB29" si="4">SUM(C22:C28)</f>
        <v>#N/A</v>
      </c>
      <c r="D29" s="1768">
        <f t="shared" si="4"/>
        <v>105451</v>
      </c>
      <c r="E29" s="1001" t="e">
        <f t="shared" si="4"/>
        <v>#N/A</v>
      </c>
      <c r="F29" s="1001" t="e">
        <f t="shared" si="4"/>
        <v>#N/A</v>
      </c>
      <c r="G29" s="1001" t="e">
        <f t="shared" si="4"/>
        <v>#N/A</v>
      </c>
      <c r="H29" s="1001" t="e">
        <f t="shared" si="4"/>
        <v>#N/A</v>
      </c>
      <c r="I29" s="1001" t="e">
        <f t="shared" si="4"/>
        <v>#N/A</v>
      </c>
      <c r="J29" s="1001" t="e">
        <f t="shared" si="4"/>
        <v>#N/A</v>
      </c>
      <c r="K29" s="1001" t="e">
        <f t="shared" si="4"/>
        <v>#N/A</v>
      </c>
      <c r="L29" s="1001" t="e">
        <f t="shared" si="4"/>
        <v>#N/A</v>
      </c>
      <c r="M29" s="1001" t="e">
        <f t="shared" si="4"/>
        <v>#N/A</v>
      </c>
      <c r="N29" s="1001" t="e">
        <f t="shared" si="4"/>
        <v>#N/A</v>
      </c>
      <c r="O29" s="1001" t="e">
        <f t="shared" si="4"/>
        <v>#N/A</v>
      </c>
      <c r="P29" s="1001" t="e">
        <f t="shared" si="4"/>
        <v>#N/A</v>
      </c>
      <c r="Q29" s="1001" t="e">
        <f t="shared" si="4"/>
        <v>#N/A</v>
      </c>
      <c r="R29" s="1001" t="e">
        <f t="shared" si="4"/>
        <v>#N/A</v>
      </c>
      <c r="S29" s="1001" t="e">
        <f t="shared" si="4"/>
        <v>#N/A</v>
      </c>
      <c r="T29" s="1001" t="e">
        <f t="shared" si="4"/>
        <v>#N/A</v>
      </c>
      <c r="U29" s="1001" t="e">
        <f t="shared" si="4"/>
        <v>#N/A</v>
      </c>
      <c r="V29" s="1001" t="e">
        <f t="shared" si="4"/>
        <v>#N/A</v>
      </c>
      <c r="W29" s="1001" t="e">
        <f t="shared" si="4"/>
        <v>#N/A</v>
      </c>
      <c r="X29" s="1001" t="e">
        <f t="shared" si="4"/>
        <v>#N/A</v>
      </c>
      <c r="Y29" s="1001" t="e">
        <f t="shared" si="4"/>
        <v>#N/A</v>
      </c>
      <c r="Z29" s="1001" t="e">
        <f t="shared" si="4"/>
        <v>#N/A</v>
      </c>
      <c r="AA29" s="1001" t="e">
        <f t="shared" si="4"/>
        <v>#N/A</v>
      </c>
      <c r="AB29" s="1001" t="e">
        <f t="shared" si="4"/>
        <v>#N/A</v>
      </c>
      <c r="AC29" s="1457" t="e">
        <f t="shared" si="3"/>
        <v>#N/A</v>
      </c>
    </row>
    <row r="30" spans="2:29" ht="15" thickBot="1" x14ac:dyDescent="0.35">
      <c r="B30" s="1772" t="str">
        <f>VLOOKUP("Cash Flow Libre [A+B+C]",tabIdiomas26[],MATCH('Indiv. Invoices Comparison'!$J$2,tabIdiomas26[#Headers]),FALSE)</f>
        <v>Free Cash Flow [A+B+C]</v>
      </c>
      <c r="C30" s="984" t="e">
        <f t="shared" ref="C30:AB30" si="5">C31+C29</f>
        <v>#N/A</v>
      </c>
      <c r="D30" s="983">
        <f t="shared" si="5"/>
        <v>41179.205833333333</v>
      </c>
      <c r="E30" s="984" t="e">
        <f t="shared" si="5"/>
        <v>#N/A</v>
      </c>
      <c r="F30" s="984" t="e">
        <f t="shared" si="5"/>
        <v>#N/A</v>
      </c>
      <c r="G30" s="984" t="e">
        <f t="shared" si="5"/>
        <v>#N/A</v>
      </c>
      <c r="H30" s="984" t="e">
        <f t="shared" si="5"/>
        <v>#N/A</v>
      </c>
      <c r="I30" s="984" t="e">
        <f t="shared" si="5"/>
        <v>#N/A</v>
      </c>
      <c r="J30" s="984" t="e">
        <f t="shared" si="5"/>
        <v>#N/A</v>
      </c>
      <c r="K30" s="984" t="e">
        <f t="shared" si="5"/>
        <v>#N/A</v>
      </c>
      <c r="L30" s="984" t="e">
        <f t="shared" si="5"/>
        <v>#N/A</v>
      </c>
      <c r="M30" s="984" t="e">
        <f t="shared" si="5"/>
        <v>#N/A</v>
      </c>
      <c r="N30" s="984" t="e">
        <f t="shared" si="5"/>
        <v>#N/A</v>
      </c>
      <c r="O30" s="984" t="e">
        <f t="shared" si="5"/>
        <v>#N/A</v>
      </c>
      <c r="P30" s="984" t="e">
        <f t="shared" si="5"/>
        <v>#N/A</v>
      </c>
      <c r="Q30" s="984" t="e">
        <f t="shared" si="5"/>
        <v>#N/A</v>
      </c>
      <c r="R30" s="984" t="e">
        <f t="shared" si="5"/>
        <v>#N/A</v>
      </c>
      <c r="S30" s="984" t="e">
        <f t="shared" si="5"/>
        <v>#N/A</v>
      </c>
      <c r="T30" s="984" t="e">
        <f t="shared" si="5"/>
        <v>#N/A</v>
      </c>
      <c r="U30" s="984" t="e">
        <f t="shared" si="5"/>
        <v>#N/A</v>
      </c>
      <c r="V30" s="984" t="e">
        <f t="shared" si="5"/>
        <v>#N/A</v>
      </c>
      <c r="W30" s="984" t="e">
        <f t="shared" si="5"/>
        <v>#N/A</v>
      </c>
      <c r="X30" s="984" t="e">
        <f t="shared" si="5"/>
        <v>#N/A</v>
      </c>
      <c r="Y30" s="984" t="e">
        <f t="shared" si="5"/>
        <v>#N/A</v>
      </c>
      <c r="Z30" s="984" t="e">
        <f t="shared" si="5"/>
        <v>#N/A</v>
      </c>
      <c r="AA30" s="984" t="e">
        <f t="shared" si="5"/>
        <v>#N/A</v>
      </c>
      <c r="AB30" s="983" t="e">
        <f t="shared" si="5"/>
        <v>#N/A</v>
      </c>
      <c r="AC30" s="982" t="e">
        <f t="shared" si="3"/>
        <v>#N/A</v>
      </c>
    </row>
    <row r="31" spans="2:29" ht="15.6" thickTop="1" thickBot="1" x14ac:dyDescent="0.35">
      <c r="B31" s="552" t="str">
        <f>VLOOKUP("Cash Flow proxecto [A+B]",tabIdiomas26[],MATCH('Indiv. Invoices Comparison'!$J$2,tabIdiomas26[#Headers]),FALSE)</f>
        <v>Project Cash Flow [A+B]</v>
      </c>
      <c r="C31" s="981" t="e">
        <f t="shared" ref="C31:AB31" si="6">C16+C20</f>
        <v>#N/A</v>
      </c>
      <c r="D31" s="957">
        <f t="shared" si="6"/>
        <v>-64271.794166666667</v>
      </c>
      <c r="E31" s="981" t="e">
        <f t="shared" si="6"/>
        <v>#N/A</v>
      </c>
      <c r="F31" s="981" t="e">
        <f t="shared" si="6"/>
        <v>#N/A</v>
      </c>
      <c r="G31" s="981" t="e">
        <f t="shared" si="6"/>
        <v>#N/A</v>
      </c>
      <c r="H31" s="981" t="e">
        <f t="shared" si="6"/>
        <v>#N/A</v>
      </c>
      <c r="I31" s="981" t="e">
        <f t="shared" si="6"/>
        <v>#N/A</v>
      </c>
      <c r="J31" s="981" t="e">
        <f t="shared" si="6"/>
        <v>#N/A</v>
      </c>
      <c r="K31" s="981" t="e">
        <f t="shared" si="6"/>
        <v>#N/A</v>
      </c>
      <c r="L31" s="981" t="e">
        <f t="shared" si="6"/>
        <v>#N/A</v>
      </c>
      <c r="M31" s="981" t="e">
        <f t="shared" si="6"/>
        <v>#N/A</v>
      </c>
      <c r="N31" s="981" t="e">
        <f t="shared" si="6"/>
        <v>#N/A</v>
      </c>
      <c r="O31" s="981" t="e">
        <f t="shared" si="6"/>
        <v>#N/A</v>
      </c>
      <c r="P31" s="981" t="e">
        <f t="shared" si="6"/>
        <v>#N/A</v>
      </c>
      <c r="Q31" s="981" t="e">
        <f t="shared" si="6"/>
        <v>#N/A</v>
      </c>
      <c r="R31" s="981" t="e">
        <f t="shared" si="6"/>
        <v>#N/A</v>
      </c>
      <c r="S31" s="981" t="e">
        <f t="shared" si="6"/>
        <v>#N/A</v>
      </c>
      <c r="T31" s="981" t="e">
        <f t="shared" si="6"/>
        <v>#N/A</v>
      </c>
      <c r="U31" s="981" t="e">
        <f t="shared" si="6"/>
        <v>#N/A</v>
      </c>
      <c r="V31" s="981" t="e">
        <f t="shared" si="6"/>
        <v>#N/A</v>
      </c>
      <c r="W31" s="981" t="e">
        <f t="shared" si="6"/>
        <v>#N/A</v>
      </c>
      <c r="X31" s="981" t="e">
        <f t="shared" si="6"/>
        <v>#N/A</v>
      </c>
      <c r="Y31" s="981" t="e">
        <f t="shared" si="6"/>
        <v>#N/A</v>
      </c>
      <c r="Z31" s="981" t="e">
        <f t="shared" si="6"/>
        <v>#N/A</v>
      </c>
      <c r="AA31" s="981" t="e">
        <f t="shared" si="6"/>
        <v>#N/A</v>
      </c>
      <c r="AB31" s="957" t="e">
        <f t="shared" si="6"/>
        <v>#N/A</v>
      </c>
      <c r="AC31" s="706" t="e">
        <f t="shared" si="3"/>
        <v>#N/A</v>
      </c>
    </row>
    <row r="32" spans="2:29" ht="15.6" thickTop="1" thickBot="1" x14ac:dyDescent="0.35">
      <c r="C32" s="145"/>
      <c r="D32" s="713"/>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row>
    <row r="33" spans="2:29" ht="15.6" thickTop="1" thickBot="1" x14ac:dyDescent="0.35">
      <c r="B33" s="980" t="str">
        <f>VLOOKUP("Cash Flow dos Socios",tabIdiomas26[],MATCH('Indiv. Invoices Comparison'!$J$2,tabIdiomas26[#Headers]),FALSE)</f>
        <v>Cash Flow from Partners</v>
      </c>
      <c r="C33" s="1456" t="e">
        <f>-C22</f>
        <v>#N/A</v>
      </c>
      <c r="D33" s="1454">
        <f t="shared" ref="D33:AB33" si="7">D30-D28</f>
        <v>47878.205833333333</v>
      </c>
      <c r="E33" s="1455" t="e">
        <f t="shared" si="7"/>
        <v>#N/A</v>
      </c>
      <c r="F33" s="1455" t="e">
        <f t="shared" si="7"/>
        <v>#N/A</v>
      </c>
      <c r="G33" s="1455" t="e">
        <f t="shared" si="7"/>
        <v>#N/A</v>
      </c>
      <c r="H33" s="1455" t="e">
        <f t="shared" si="7"/>
        <v>#N/A</v>
      </c>
      <c r="I33" s="1455" t="e">
        <f t="shared" si="7"/>
        <v>#N/A</v>
      </c>
      <c r="J33" s="1455" t="e">
        <f t="shared" si="7"/>
        <v>#N/A</v>
      </c>
      <c r="K33" s="1455" t="e">
        <f t="shared" si="7"/>
        <v>#N/A</v>
      </c>
      <c r="L33" s="1455" t="e">
        <f t="shared" si="7"/>
        <v>#N/A</v>
      </c>
      <c r="M33" s="1455" t="e">
        <f t="shared" si="7"/>
        <v>#N/A</v>
      </c>
      <c r="N33" s="1455" t="e">
        <f t="shared" si="7"/>
        <v>#N/A</v>
      </c>
      <c r="O33" s="1455" t="e">
        <f t="shared" si="7"/>
        <v>#N/A</v>
      </c>
      <c r="P33" s="1455" t="e">
        <f t="shared" si="7"/>
        <v>#N/A</v>
      </c>
      <c r="Q33" s="1455" t="e">
        <f t="shared" si="7"/>
        <v>#N/A</v>
      </c>
      <c r="R33" s="1455" t="e">
        <f t="shared" si="7"/>
        <v>#N/A</v>
      </c>
      <c r="S33" s="1455" t="e">
        <f t="shared" si="7"/>
        <v>#N/A</v>
      </c>
      <c r="T33" s="1455" t="e">
        <f t="shared" si="7"/>
        <v>#N/A</v>
      </c>
      <c r="U33" s="1455" t="e">
        <f t="shared" si="7"/>
        <v>#N/A</v>
      </c>
      <c r="V33" s="1455" t="e">
        <f t="shared" si="7"/>
        <v>#N/A</v>
      </c>
      <c r="W33" s="1455" t="e">
        <f t="shared" si="7"/>
        <v>#N/A</v>
      </c>
      <c r="X33" s="1455" t="e">
        <f t="shared" si="7"/>
        <v>#N/A</v>
      </c>
      <c r="Y33" s="1455" t="e">
        <f t="shared" si="7"/>
        <v>#N/A</v>
      </c>
      <c r="Z33" s="1455" t="e">
        <f t="shared" si="7"/>
        <v>#N/A</v>
      </c>
      <c r="AA33" s="1455" t="e">
        <f t="shared" si="7"/>
        <v>#N/A</v>
      </c>
      <c r="AB33" s="1454" t="e">
        <f t="shared" si="7"/>
        <v>#N/A</v>
      </c>
      <c r="AC33" s="1453" t="e">
        <f>SUM(C33:AB33)</f>
        <v>#N/A</v>
      </c>
    </row>
    <row r="34" spans="2:29" ht="15" thickTop="1" x14ac:dyDescent="0.3">
      <c r="B34" s="555" t="str">
        <f>VLOOKUP("Valor Actual do Fluxo de Caixa",tabIdiomas26[],MATCH('Indiv. Invoices Comparison'!$J$2,tabIdiomas26[#Headers]),FALSE)</f>
        <v>Present Value of Cash Flow</v>
      </c>
      <c r="C34" s="715" t="e">
        <f>C33</f>
        <v>#N/A</v>
      </c>
      <c r="D34" s="1452">
        <f>D33/((1+$AE$8)^('Cash Flow Statement'!D5))</f>
        <v>46368.898197020317</v>
      </c>
      <c r="E34" s="715" t="e">
        <f>E33/((1+'Hipóteses xerais (2)'!$C$33)^('Cash Flow Statement'!E5))</f>
        <v>#N/A</v>
      </c>
      <c r="F34" s="715" t="e">
        <f>F33/((1+'Hipóteses xerais (2)'!$C$33)^('Cash Flow Statement'!F5))</f>
        <v>#N/A</v>
      </c>
      <c r="G34" s="715" t="e">
        <f>G33/((1+'Hipóteses xerais (2)'!$C$33)^('Cash Flow Statement'!G5))</f>
        <v>#N/A</v>
      </c>
      <c r="H34" s="715" t="e">
        <f>H33/((1+'Hipóteses xerais (2)'!$C$33)^('Cash Flow Statement'!H5))</f>
        <v>#N/A</v>
      </c>
      <c r="I34" s="715" t="e">
        <f>I33/((1+'Hipóteses xerais (2)'!$C$33)^('Cash Flow Statement'!I5))</f>
        <v>#N/A</v>
      </c>
      <c r="J34" s="715" t="e">
        <f>J33/((1+'Hipóteses xerais (2)'!$C$33)^('Cash Flow Statement'!J5))</f>
        <v>#N/A</v>
      </c>
      <c r="K34" s="715" t="e">
        <f>K33/((1+'Hipóteses xerais (2)'!$C$33)^('Cash Flow Statement'!K5))</f>
        <v>#N/A</v>
      </c>
      <c r="L34" s="715" t="e">
        <f>L33/((1+'Hipóteses xerais (2)'!$C$33)^('Cash Flow Statement'!L5))</f>
        <v>#N/A</v>
      </c>
      <c r="M34" s="715" t="e">
        <f>M33/((1+'Hipóteses xerais (2)'!$C$33)^('Cash Flow Statement'!M5))</f>
        <v>#N/A</v>
      </c>
      <c r="N34" s="715" t="e">
        <f>N33/((1+'Hipóteses xerais (2)'!$C$33)^('Cash Flow Statement'!N5))</f>
        <v>#N/A</v>
      </c>
      <c r="O34" s="715" t="e">
        <f>O33/((1+'Hipóteses xerais (2)'!$C$33)^('Cash Flow Statement'!O5))</f>
        <v>#N/A</v>
      </c>
      <c r="P34" s="715" t="e">
        <f>P33/((1+'Hipóteses xerais (2)'!$C$33)^('Cash Flow Statement'!P5))</f>
        <v>#N/A</v>
      </c>
      <c r="Q34" s="715" t="e">
        <f>Q33/((1+'Hipóteses xerais (2)'!$C$33)^('Cash Flow Statement'!Q5))</f>
        <v>#N/A</v>
      </c>
      <c r="R34" s="715" t="e">
        <f>R33/((1+'Hipóteses xerais (2)'!$C$33)^('Cash Flow Statement'!R5))</f>
        <v>#N/A</v>
      </c>
      <c r="S34" s="715" t="e">
        <f>S33/((1+'Hipóteses xerais (2)'!$C$33)^('Cash Flow Statement'!S5))</f>
        <v>#N/A</v>
      </c>
      <c r="T34" s="715" t="e">
        <f>T33/((1+'Hipóteses xerais (2)'!$C$33)^('Cash Flow Statement'!T5))</f>
        <v>#N/A</v>
      </c>
      <c r="U34" s="715" t="e">
        <f>U33/((1+'Hipóteses xerais (2)'!$C$33)^('Cash Flow Statement'!U5))</f>
        <v>#N/A</v>
      </c>
      <c r="V34" s="715" t="e">
        <f>V33/((1+'Hipóteses xerais (2)'!$C$33)^('Cash Flow Statement'!V5))</f>
        <v>#N/A</v>
      </c>
      <c r="W34" s="715" t="e">
        <f>W33/((1+'Hipóteses xerais (2)'!$C$33)^('Cash Flow Statement'!W5))</f>
        <v>#N/A</v>
      </c>
      <c r="X34" s="715" t="e">
        <f>X33/((1+'Hipóteses xerais (2)'!$C$33)^('Cash Flow Statement'!X5))</f>
        <v>#N/A</v>
      </c>
      <c r="Y34" s="715" t="e">
        <f>Y33/((1+'Hipóteses xerais (2)'!$C$33)^('Cash Flow Statement'!Y5))</f>
        <v>#N/A</v>
      </c>
      <c r="Z34" s="715" t="e">
        <f>Z33/((1+'Hipóteses xerais (2)'!$C$33)^('Cash Flow Statement'!Z5))</f>
        <v>#N/A</v>
      </c>
      <c r="AA34" s="715" t="e">
        <f>AA33/((1+'Hipóteses xerais (2)'!$C$33)^('Cash Flow Statement'!AA5))</f>
        <v>#N/A</v>
      </c>
      <c r="AB34" s="1452" t="e">
        <f>AB33/((1+'Hipóteses xerais (2)'!$C$33)^('Cash Flow Statement'!AB5))</f>
        <v>#N/A</v>
      </c>
      <c r="AC34" s="1451" t="e">
        <f>SUM(C34:AB34)</f>
        <v>#N/A</v>
      </c>
    </row>
    <row r="35" spans="2:29" ht="15" thickBot="1" x14ac:dyDescent="0.35">
      <c r="B35" s="552" t="str">
        <f>VLOOKUP("Valor Actual Fluxo de Caixa Proxecto",tabIdiomas26[],MATCH('Indiv. Invoices Comparison'!$J$2,tabIdiomas26[#Headers]),FALSE)</f>
        <v>Present Value Cash Flow Project</v>
      </c>
      <c r="C35" s="981" t="e">
        <f>C31</f>
        <v>#N/A</v>
      </c>
      <c r="D35" s="957">
        <f>D31/((1+$AE$8)^('Cash Flow Statement'!D5))</f>
        <v>-62245.696737849656</v>
      </c>
      <c r="E35" s="981" t="e">
        <f>E31/((1+'Hipóteses xerais (2)'!$C$33)^('Cash Flow Statement'!E5))</f>
        <v>#N/A</v>
      </c>
      <c r="F35" s="981" t="e">
        <f>F31/((1+'Hipóteses xerais (2)'!$C$33)^('Cash Flow Statement'!F5))</f>
        <v>#N/A</v>
      </c>
      <c r="G35" s="981" t="e">
        <f>G31/((1+'Hipóteses xerais (2)'!$C$33)^('Cash Flow Statement'!G5))</f>
        <v>#N/A</v>
      </c>
      <c r="H35" s="981" t="e">
        <f>H31/((1+'Hipóteses xerais (2)'!$C$33)^('Cash Flow Statement'!H5))</f>
        <v>#N/A</v>
      </c>
      <c r="I35" s="981" t="e">
        <f>I31/((1+'Hipóteses xerais (2)'!$C$33)^('Cash Flow Statement'!I5))</f>
        <v>#N/A</v>
      </c>
      <c r="J35" s="981" t="e">
        <f>J31/((1+'Hipóteses xerais (2)'!$C$33)^('Cash Flow Statement'!J5))</f>
        <v>#N/A</v>
      </c>
      <c r="K35" s="981" t="e">
        <f>K31/((1+'Hipóteses xerais (2)'!$C$33)^('Cash Flow Statement'!K5))</f>
        <v>#N/A</v>
      </c>
      <c r="L35" s="981" t="e">
        <f>L31/((1+'Hipóteses xerais (2)'!$C$33)^('Cash Flow Statement'!L5))</f>
        <v>#N/A</v>
      </c>
      <c r="M35" s="981" t="e">
        <f>M31/((1+'Hipóteses xerais (2)'!$C$33)^('Cash Flow Statement'!M5))</f>
        <v>#N/A</v>
      </c>
      <c r="N35" s="981" t="e">
        <f>N31/((1+'Hipóteses xerais (2)'!$C$33)^('Cash Flow Statement'!N5))</f>
        <v>#N/A</v>
      </c>
      <c r="O35" s="981" t="e">
        <f>O31/((1+'Hipóteses xerais (2)'!$C$33)^('Cash Flow Statement'!O5))</f>
        <v>#N/A</v>
      </c>
      <c r="P35" s="981" t="e">
        <f>P31/((1+'Hipóteses xerais (2)'!$C$33)^('Cash Flow Statement'!P5))</f>
        <v>#N/A</v>
      </c>
      <c r="Q35" s="981" t="e">
        <f>Q31/((1+'Hipóteses xerais (2)'!$C$33)^('Cash Flow Statement'!Q5))</f>
        <v>#N/A</v>
      </c>
      <c r="R35" s="981" t="e">
        <f>R31/((1+'Hipóteses xerais (2)'!$C$33)^('Cash Flow Statement'!R5))</f>
        <v>#N/A</v>
      </c>
      <c r="S35" s="981" t="e">
        <f>S31/((1+'Hipóteses xerais (2)'!$C$33)^('Cash Flow Statement'!S5))</f>
        <v>#N/A</v>
      </c>
      <c r="T35" s="981" t="e">
        <f>T31/((1+'Hipóteses xerais (2)'!$C$33)^('Cash Flow Statement'!T5))</f>
        <v>#N/A</v>
      </c>
      <c r="U35" s="981" t="e">
        <f>U31/((1+'Hipóteses xerais (2)'!$C$33)^('Cash Flow Statement'!U5))</f>
        <v>#N/A</v>
      </c>
      <c r="V35" s="981" t="e">
        <f>V31/((1+'Hipóteses xerais (2)'!$C$33)^('Cash Flow Statement'!V5))</f>
        <v>#N/A</v>
      </c>
      <c r="W35" s="981" t="e">
        <f>W31/((1+'Hipóteses xerais (2)'!$C$33)^('Cash Flow Statement'!W5))</f>
        <v>#N/A</v>
      </c>
      <c r="X35" s="981" t="e">
        <f>X31/((1+'Hipóteses xerais (2)'!$C$33)^('Cash Flow Statement'!X5))</f>
        <v>#N/A</v>
      </c>
      <c r="Y35" s="981" t="e">
        <f>Y31/((1+'Hipóteses xerais (2)'!$C$33)^('Cash Flow Statement'!Y5))</f>
        <v>#N/A</v>
      </c>
      <c r="Z35" s="981" t="e">
        <f>Z31/((1+'Hipóteses xerais (2)'!$C$33)^('Cash Flow Statement'!Z5))</f>
        <v>#N/A</v>
      </c>
      <c r="AA35" s="981" t="e">
        <f>AA31/((1+'Hipóteses xerais (2)'!$C$33)^('Cash Flow Statement'!AA5))</f>
        <v>#N/A</v>
      </c>
      <c r="AB35" s="957" t="e">
        <f>AB31/((1+'Hipóteses xerais (2)'!$C$33)^('Cash Flow Statement'!AB5))</f>
        <v>#N/A</v>
      </c>
      <c r="AC35" s="1450" t="e">
        <f>SUM(C35:AB35)</f>
        <v>#N/A</v>
      </c>
    </row>
    <row r="36" spans="2:29" ht="15" thickTop="1" x14ac:dyDescent="0.3">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row>
    <row r="37" spans="2:29" ht="15.6" hidden="1" thickTop="1" thickBot="1" x14ac:dyDescent="0.35">
      <c r="B37" s="1449" t="str">
        <f>VLOOKUP("Rendemento da instalación e recursos financeiros necesarios",tabIdiomas26[],MATCH('Indiv. Invoices Comparison'!$J$2,tabIdiomas26[#Headers]),FALSE)</f>
        <v>Performance of the installation and financial resources required</v>
      </c>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row>
    <row r="38" spans="2:29" ht="15.6" hidden="1" thickTop="1" thickBot="1" x14ac:dyDescent="0.35">
      <c r="B38" s="965" t="str">
        <f>VLOOKUP("TIR proxecto",tabIdiomas26[],MATCH('Indiv. Invoices Comparison'!$J$2,tabIdiomas26[#Headers]),FALSE)</f>
        <v>Project IRR</v>
      </c>
      <c r="C38" s="970" t="e">
        <f>IRR(C31:AB31)</f>
        <v>#VALUE!</v>
      </c>
      <c r="D38" s="145"/>
      <c r="E38" s="1448" t="str">
        <f>VLOOKUP("Ter en conta se está a excluír ou non o valor da enerxía producida e transmitida gratuitamente aos socios para o seu autoconsumo ou compensación.",tabIdiomas26[],MATCH('Indiv. Invoices Comparison'!$J$2,tabIdiomas26[#Headers]),FALSE)</f>
        <v>Consider whether or not to exclude the value of the energy produced and transmitted free of charge to the members for self-consumption or compensation.</v>
      </c>
      <c r="F38" s="1447"/>
      <c r="G38" s="1447"/>
      <c r="H38" s="1447"/>
      <c r="I38" s="1447"/>
      <c r="J38" s="1447"/>
      <c r="K38" s="1447"/>
      <c r="L38" s="1447"/>
      <c r="M38" s="1447"/>
      <c r="N38" s="1446"/>
      <c r="O38" s="145"/>
      <c r="P38" s="145"/>
      <c r="Q38" s="145"/>
      <c r="R38" s="145"/>
      <c r="S38" s="145"/>
      <c r="T38" s="145"/>
      <c r="U38" s="145"/>
      <c r="V38" s="145"/>
      <c r="W38" s="145"/>
      <c r="X38" s="145"/>
      <c r="Y38" s="145"/>
      <c r="Z38" s="145"/>
      <c r="AA38" s="145"/>
      <c r="AB38" s="145"/>
    </row>
    <row r="39" spans="2:29" ht="15.6" hidden="1" thickTop="1" thickBot="1" x14ac:dyDescent="0.35">
      <c r="B39" s="965" t="str">
        <f>VLOOKUP("TIR modificada proxecto",tabIdiomas26[],MATCH('Indiv. Invoices Comparison'!$J$2,tabIdiomas26[#Headers]),FALSE)</f>
        <v>Modified project IRR</v>
      </c>
      <c r="C39" s="970" t="e">
        <f>MIRR(C31:AB31,'Hipóteses xerais (2)'!C33,'Hipóteses xerais (2)'!C33)</f>
        <v>#N/A</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2:29" ht="15.6" hidden="1" thickTop="1" thickBot="1" x14ac:dyDescent="0.35">
      <c r="B40" s="965" t="str">
        <f>VLOOKUP("TIR Socios Incluíndo Fluxos de Financiamento",tabIdiomas26[],MATCH('Indiv. Invoices Comparison'!$J$2,tabIdiomas26[#Headers]),FALSE)</f>
        <v>IRR Partners Including Financing Cash Flows</v>
      </c>
      <c r="C40" s="970" t="e">
        <f>IRR(C33:AB33)</f>
        <v>#VALUE!</v>
      </c>
      <c r="D40" s="145"/>
      <c r="E40" s="441" t="str">
        <f>VLOOKUP("Inclusión do Valor da Enerxía Producida como Ingreso que Si Xera un Fluxo de Efectivo Pseudo-Monetario (Si/Non)",tabIdiomas26[],MATCH('Indiv. Invoices Comparison'!$J$2,tabIdiomas26[#Headers]),FALSE)</f>
        <v>Inclusion of Value of Energy Produced as Income that Does Generate a Pseudo-Monetary Cash Flow (Yes/No)</v>
      </c>
      <c r="F40" s="441"/>
      <c r="G40" s="441"/>
      <c r="H40" s="441"/>
      <c r="I40" s="441"/>
      <c r="J40" s="441"/>
      <c r="K40" s="1445"/>
      <c r="L40" s="1444"/>
      <c r="M40" s="145"/>
      <c r="N40" s="145"/>
      <c r="O40" s="145"/>
      <c r="P40" s="145"/>
      <c r="Q40" s="145"/>
      <c r="R40" s="145"/>
      <c r="S40" s="145"/>
      <c r="T40" s="145"/>
      <c r="U40" s="145"/>
      <c r="V40" s="145"/>
      <c r="W40" s="145"/>
      <c r="X40" s="145"/>
      <c r="Y40" s="145"/>
      <c r="Z40" s="145"/>
      <c r="AA40" s="145"/>
    </row>
    <row r="41" spans="2:29" ht="15.6" hidden="1" thickTop="1" thickBot="1" x14ac:dyDescent="0.35">
      <c r="B41" s="965" t="str">
        <f>VLOOKUP("TIR Modificada dos Socios",tabIdiomas26[],MATCH('Indiv. Invoices Comparison'!$J$2,tabIdiomas26[#Headers]),FALSE)</f>
        <v>Partners' Modified IRR</v>
      </c>
      <c r="C41" s="970" t="e">
        <f>MIRR(C33:AB33, 10%,'Hipóteses xerais (2)'!C33)</f>
        <v>#N/A</v>
      </c>
      <c r="D41" s="145"/>
      <c r="E41" s="1693" t="str">
        <f>'General Hipotheses (INTRO)'!$B$34</f>
        <v>Si</v>
      </c>
      <c r="F41" s="1443"/>
      <c r="G41" s="1443"/>
      <c r="H41" s="1443"/>
      <c r="I41" s="1443"/>
      <c r="J41" s="1443"/>
      <c r="K41" s="1443"/>
      <c r="L41" s="1442"/>
      <c r="M41" s="145"/>
      <c r="N41" s="145"/>
      <c r="O41" s="145"/>
      <c r="P41" s="145"/>
      <c r="Q41" s="145"/>
      <c r="R41" s="145"/>
      <c r="S41" s="145"/>
      <c r="T41" s="145"/>
      <c r="U41" s="145"/>
      <c r="V41" s="145"/>
      <c r="W41" s="145"/>
      <c r="X41" s="145"/>
      <c r="Y41" s="145"/>
      <c r="Z41" s="145"/>
      <c r="AA41" s="145"/>
    </row>
    <row r="42" spans="2:29" ht="15.6" hidden="1" thickTop="1" thickBot="1" x14ac:dyDescent="0.35">
      <c r="B42" s="965" t="str">
        <f>VLOOKUP("VAN Socios con Fluxos de Financiamento (ke 5%)",tabIdiomas26[],MATCH('Indiv. Invoices Comparison'!$J$2,tabIdiomas26[#Headers]),FALSE)</f>
        <v>NPV Partners with Funding Flows (ke 5%)</v>
      </c>
      <c r="C42" s="966" t="e">
        <f>C30+NPV(5%,D30:AB30)</f>
        <v>#N/A</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row>
    <row r="43" spans="2:29" ht="15.6" hidden="1" thickTop="1" thickBot="1" x14ac:dyDescent="0.35">
      <c r="B43" s="965" t="str">
        <f>VLOOKUP("Período de Recuperación do Investimento (Anos)",tabIdiomas26[],MATCH('Indiv. Invoices Comparison'!$J$2,tabIdiomas26[#Headers]),FALSE)</f>
        <v>Payback Period (Years)</v>
      </c>
      <c r="C43" s="964" t="e">
        <f>(-C34)/AVERAGE(D34:AB34)</f>
        <v>#N/A</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row>
    <row r="44" spans="2:29" ht="15.6" hidden="1" thickTop="1" thickBot="1" x14ac:dyDescent="0.35">
      <c r="B44" s="965" t="str">
        <f>VLOOKUP("Período de Recuperación do Investimento Excl. Subv. (Anos)",tabIdiomas26[],MATCH('Indiv. Invoices Comparison'!$J$2,tabIdiomas26[#Headers]),FALSE)</f>
        <v>Payback Period Excl. Grant (Years)</v>
      </c>
      <c r="C44" s="964" t="e">
        <f>(-C35)/AVERAGE(D35:AB35)</f>
        <v>#N/A</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2:29" ht="15" hidden="1" thickTop="1" x14ac:dyDescent="0.3">
      <c r="B45" s="963" t="str">
        <f>VLOOKUP("Aportación de Capital Propio dos Socios",tabIdiomas26[],MATCH('Indiv. Invoices Comparison'!$J$2,tabIdiomas26[#Headers]),FALSE)</f>
        <v>Shareholders' Equity Contribution</v>
      </c>
      <c r="C45" s="962" t="e">
        <f>'Hipóteses xerais (2)'!$F$35</f>
        <v>#N/A</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row>
    <row r="46" spans="2:29" hidden="1" x14ac:dyDescent="0.3">
      <c r="B46" s="963" t="str">
        <f>VLOOKUP("Subvención",tabIdiomas26[],MATCH('Indiv. Invoices Comparison'!$J$2,tabIdiomas26[#Headers]),FALSE)</f>
        <v>Grant</v>
      </c>
      <c r="C46" s="962" t="e">
        <f>IF('Hipóteses xerais (2)'!$E$64="Si",'Hipóteses xerais (2)'!$C$62,0)</f>
        <v>#N/A</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2:29" ht="15" hidden="1" thickBot="1" x14ac:dyDescent="0.35">
      <c r="B47" s="961" t="str">
        <f>VLOOKUP("Préstamo",tabIdiomas26[],MATCH('Indiv. Invoices Comparison'!$J$2,tabIdiomas26[#Headers]),FALSE)</f>
        <v>Loan</v>
      </c>
      <c r="C47" s="960">
        <f>'x Financiamento'!$E$11</f>
        <v>0</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row>
    <row r="48" spans="2:29" ht="15.6" hidden="1" thickTop="1" thickBot="1" x14ac:dyDescent="0.35">
      <c r="B48" s="710" t="str">
        <f>VLOOKUP("Total Recursos Financeiros (Propios e Alleos)",tabIdiomas26[],MATCH('Indiv. Invoices Comparison'!$J$2,tabIdiomas26[#Headers]),FALSE)</f>
        <v>Total Financial Resources (Own and Borrowed)</v>
      </c>
      <c r="C48" s="757" t="e">
        <f>SUM(C45:C47)</f>
        <v>#N/A</v>
      </c>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row>
    <row r="49" spans="2:27" ht="15" hidden="1" thickTop="1" x14ac:dyDescent="0.3">
      <c r="B49" s="166"/>
      <c r="C49" s="713"/>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row>
    <row r="50" spans="2:27" ht="15" hidden="1" thickBot="1" x14ac:dyDescent="0.35">
      <c r="B50" s="166"/>
      <c r="C50" s="713"/>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row>
    <row r="51" spans="2:27" ht="15.6" hidden="1" thickTop="1" thickBot="1" x14ac:dyDescent="0.35">
      <c r="B51" s="710" t="str">
        <f>VLOOKUP("Desembolso Inicial (Incl. Renovación de Instalacións)",tabIdiomas26[],MATCH('Indiv. Invoices Comparison'!$J$2,tabIdiomas26[#Headers]),FALSE)</f>
        <v>Initial Disbursement (Incl. Renovation of Facilities)</v>
      </c>
      <c r="C51" s="757" t="e">
        <f>'Hipóteses xerais (2)'!$C$91</f>
        <v>#N/A</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2:27" ht="15" hidden="1" thickTop="1" x14ac:dyDescent="0.3">
      <c r="B52" s="959" t="str">
        <f>VLOOKUP("Investimento",tabIdiomas26[],MATCH('Indiv. Invoices Comparison'!$J$2,tabIdiomas26[#Headers]),FALSE)</f>
        <v>Investment</v>
      </c>
      <c r="C52" s="713" t="e">
        <f>'Hipóteses xerais (2)'!$C$19</f>
        <v>#N/A</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row>
    <row r="53" spans="2:27" ht="15" hidden="1" thickBot="1" x14ac:dyDescent="0.35">
      <c r="B53" s="958" t="str">
        <f>VLOOKUP("Para Necesidades Operativas:",tabIdiomas26[],MATCH('Indiv. Invoices Comparison'!$J$2,tabIdiomas26[#Headers]),FALSE)</f>
        <v>For Operational Needs:</v>
      </c>
      <c r="C53" s="957" t="e">
        <f>'Hipóteses xerais (2)'!$C$74</f>
        <v>#N/A</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60" spans="2:27" hidden="1" x14ac:dyDescent="0.3"/>
    <row r="61" spans="2:27" hidden="1" x14ac:dyDescent="0.3">
      <c r="B61" t="str">
        <f>VLOOKUP("Ter en conta se está a excluír ou non o valor da enerxía producida e transmitida gratuitamente aos socios para o seu autoconsumo ou compensación.",tabIdiomas26[],MATCH('Operating Account'!$G$2,tabIdiomas26[#Headers]),FALSE)</f>
        <v>Consider whether or not to exclude the value of the energy produced and transmitted free of charge to the members for self-consumption or compensation.</v>
      </c>
    </row>
    <row r="62" spans="2:27" hidden="1" x14ac:dyDescent="0.3">
      <c r="B62" t="str">
        <f>VLOOKUP("Inclusión do Valor da Enerxía Producida como Ingreso que Si Xera un Fluxo de Efectivo Pseudo-Monetario (Si/Non)",tabIdiomas26[#Data],MATCH('Operating Account'!$G$2,tabIdiomas26[#Headers]),FALSE)</f>
        <v>Inclusion of Value of Energy Produced as Income that Does Generate a Pseudo-Monetary Cash Flow (Yes/No)</v>
      </c>
    </row>
    <row r="63" spans="2:27" hidden="1" x14ac:dyDescent="0.3">
      <c r="B63" t="str">
        <f>INDEX(tabRespPreg151013141611[Respuestas Pregunta],MATCH(AE5,tabRespPreg151013141611[Opciones mostradas],0),1)</f>
        <v>Si</v>
      </c>
    </row>
  </sheetData>
  <sheetProtection algorithmName="SHA-512" hashValue="KpZ1iFBgUH/5j5l6gd5EELMxH5LilxwEoS0ntw9NSZY+ZOuDiqqg/H8qRa36kq5ulPgWgSREH+ZAMBDx+h+glA==" saltValue="G/ZdbCzU3yw5TXj4PmHi/A==" spinCount="100000" sheet="1" objects="1" scenarios="1"/>
  <protectedRanges>
    <protectedRange sqref="AE5" name="Cash Flow Statement"/>
  </protectedRanges>
  <dataValidations count="1">
    <dataValidation allowBlank="1" showDropDown="1" showInputMessage="1" showErrorMessage="1" sqref="E41" xr:uid="{2CA3B38B-309E-4824-B47B-D554A5B1F292}"/>
  </dataValidations>
  <printOptions horizontalCentered="1"/>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049954D-1B50-4865-A4A3-A04BC1C62E14}">
          <x14:formula1>
            <xm:f>'Cuestións e Respostas'!$AB$3:$AB$4</xm:f>
          </x14:formula1>
          <xm:sqref>AE5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1E7F-6DEE-46B8-A1D7-FC8318480105}">
  <sheetPr>
    <tabColor rgb="FFFFC9C9"/>
  </sheetPr>
  <dimension ref="A1:AB27"/>
  <sheetViews>
    <sheetView workbookViewId="0">
      <selection activeCell="C1" sqref="C1"/>
    </sheetView>
  </sheetViews>
  <sheetFormatPr baseColWidth="10" defaultColWidth="11.5546875" defaultRowHeight="14.4" x14ac:dyDescent="0.3"/>
  <cols>
    <col min="1" max="1" width="70.44140625" bestFit="1" customWidth="1"/>
    <col min="2" max="2" width="12.88671875" bestFit="1" customWidth="1"/>
    <col min="17" max="27" width="11.88671875" bestFit="1" customWidth="1"/>
    <col min="28" max="28" width="20.33203125" bestFit="1" customWidth="1"/>
  </cols>
  <sheetData>
    <row r="1" spans="1:28" ht="15" thickBot="1" x14ac:dyDescent="0.35"/>
    <row r="2" spans="1:28" ht="15" thickTop="1" x14ac:dyDescent="0.3">
      <c r="A2" s="555"/>
      <c r="B2" s="1549">
        <v>0</v>
      </c>
      <c r="C2" s="702">
        <v>1</v>
      </c>
      <c r="D2" s="702">
        <v>2</v>
      </c>
      <c r="E2" s="702">
        <v>3</v>
      </c>
      <c r="F2" s="702">
        <v>4</v>
      </c>
      <c r="G2" s="702">
        <v>5</v>
      </c>
      <c r="H2" s="702">
        <v>6</v>
      </c>
      <c r="I2" s="702">
        <v>7</v>
      </c>
      <c r="J2" s="702">
        <v>8</v>
      </c>
      <c r="K2" s="702">
        <v>9</v>
      </c>
      <c r="L2" s="702">
        <v>10</v>
      </c>
      <c r="M2" s="702">
        <v>11</v>
      </c>
      <c r="N2" s="702">
        <v>12</v>
      </c>
      <c r="O2" s="702">
        <v>13</v>
      </c>
      <c r="P2" s="702">
        <v>14</v>
      </c>
      <c r="Q2" s="702">
        <v>15</v>
      </c>
      <c r="R2" s="702">
        <v>16</v>
      </c>
      <c r="S2" s="702">
        <v>17</v>
      </c>
      <c r="T2" s="702">
        <v>18</v>
      </c>
      <c r="U2" s="702">
        <v>19</v>
      </c>
      <c r="V2" s="702">
        <v>20</v>
      </c>
      <c r="W2" s="702">
        <v>21</v>
      </c>
      <c r="X2" s="702">
        <v>22</v>
      </c>
      <c r="Y2" s="702">
        <v>23</v>
      </c>
      <c r="Z2" s="702">
        <v>24</v>
      </c>
      <c r="AA2" s="1054">
        <v>25</v>
      </c>
      <c r="AB2" s="1026" t="s">
        <v>1025</v>
      </c>
    </row>
    <row r="3" spans="1:28" ht="16.95" customHeight="1" thickBot="1" x14ac:dyDescent="0.35">
      <c r="A3" s="1548" t="s">
        <v>1024</v>
      </c>
      <c r="B3" s="1053"/>
      <c r="C3" s="65">
        <f>'Operating Account'!D$5</f>
        <v>2025</v>
      </c>
      <c r="D3" s="65">
        <f>'Operating Account'!G$5</f>
        <v>0</v>
      </c>
      <c r="E3" s="65">
        <f>'Operating Account'!H$5</f>
        <v>0</v>
      </c>
      <c r="F3" s="65">
        <f>'Operating Account'!I$5</f>
        <v>0</v>
      </c>
      <c r="G3" s="65">
        <f>'Operating Account'!J$5</f>
        <v>0</v>
      </c>
      <c r="H3" s="65">
        <f>'Operating Account'!K$5</f>
        <v>0</v>
      </c>
      <c r="I3" s="65">
        <f>'Operating Account'!L$5</f>
        <v>0</v>
      </c>
      <c r="J3" s="65">
        <f>'Operating Account'!M$5</f>
        <v>0</v>
      </c>
      <c r="K3" s="65">
        <f>'Operating Account'!N$5</f>
        <v>0</v>
      </c>
      <c r="L3" s="65">
        <f>'Operating Account'!O$5</f>
        <v>0</v>
      </c>
      <c r="M3" s="65">
        <f>'Operating Account'!P$5</f>
        <v>0</v>
      </c>
      <c r="N3" s="65">
        <f>'Operating Account'!Q$5</f>
        <v>0</v>
      </c>
      <c r="O3" s="65">
        <f>'Operating Account'!R$5</f>
        <v>0</v>
      </c>
      <c r="P3" s="65">
        <f>'Operating Account'!S$5</f>
        <v>0</v>
      </c>
      <c r="Q3" s="65">
        <f>'Operating Account'!T$5</f>
        <v>0</v>
      </c>
      <c r="R3" s="65">
        <f>'Operating Account'!U$5</f>
        <v>0</v>
      </c>
      <c r="S3" s="65">
        <f>'Operating Account'!V$5</f>
        <v>0</v>
      </c>
      <c r="T3" s="65">
        <f>'Operating Account'!W$5</f>
        <v>0</v>
      </c>
      <c r="U3" s="65">
        <f>'Operating Account'!X$5</f>
        <v>0</v>
      </c>
      <c r="V3" s="65">
        <f>'Operating Account'!Y$5</f>
        <v>0</v>
      </c>
      <c r="W3" s="65">
        <f>'Operating Account'!Z$5</f>
        <v>0</v>
      </c>
      <c r="X3" s="65">
        <f>'Operating Account'!AA$5</f>
        <v>0</v>
      </c>
      <c r="Y3" s="65">
        <f>'Operating Account'!AB$5</f>
        <v>0</v>
      </c>
      <c r="Z3" s="65">
        <f>'Operating Account'!AC$5</f>
        <v>0</v>
      </c>
      <c r="AA3" s="1052">
        <f>'Operating Account'!AD$5</f>
        <v>0</v>
      </c>
      <c r="AB3" s="1021" t="s">
        <v>1023</v>
      </c>
    </row>
    <row r="4" spans="1:28" ht="15" thickTop="1" x14ac:dyDescent="0.3">
      <c r="A4" s="1547" t="s">
        <v>1039</v>
      </c>
      <c r="B4" s="1546">
        <v>0</v>
      </c>
      <c r="C4" s="1545">
        <f>'Operating Account'!D6</f>
        <v>4466</v>
      </c>
      <c r="D4" s="1544">
        <f>'Operating Account'!G6</f>
        <v>0</v>
      </c>
      <c r="E4" s="1544">
        <f>'Operating Account'!H6</f>
        <v>0</v>
      </c>
      <c r="F4" s="1544">
        <f>'Operating Account'!I6</f>
        <v>0</v>
      </c>
      <c r="G4" s="1544">
        <f>'Operating Account'!J6</f>
        <v>0</v>
      </c>
      <c r="H4" s="1544">
        <f>'Operating Account'!K6</f>
        <v>0</v>
      </c>
      <c r="I4" s="1544">
        <f>'Operating Account'!L6</f>
        <v>0</v>
      </c>
      <c r="J4" s="1544">
        <f>'Operating Account'!M6</f>
        <v>0</v>
      </c>
      <c r="K4" s="1544">
        <f>'Operating Account'!N6</f>
        <v>0</v>
      </c>
      <c r="L4" s="1544">
        <f>'Operating Account'!O6</f>
        <v>0</v>
      </c>
      <c r="M4" s="1544">
        <f>'Operating Account'!P6</f>
        <v>0</v>
      </c>
      <c r="N4" s="1544">
        <f>'Operating Account'!Q6</f>
        <v>0</v>
      </c>
      <c r="O4" s="1544">
        <f>'Operating Account'!R6</f>
        <v>0</v>
      </c>
      <c r="P4" s="1544">
        <f>'Operating Account'!S6</f>
        <v>0</v>
      </c>
      <c r="Q4" s="1544">
        <f>'Operating Account'!T6</f>
        <v>0</v>
      </c>
      <c r="R4" s="1544">
        <f>'Operating Account'!U6</f>
        <v>0</v>
      </c>
      <c r="S4" s="1544">
        <f>'Operating Account'!V6</f>
        <v>0</v>
      </c>
      <c r="T4" s="1544">
        <f>'Operating Account'!W6</f>
        <v>0</v>
      </c>
      <c r="U4" s="1544">
        <f>'Operating Account'!X6</f>
        <v>0</v>
      </c>
      <c r="V4" s="1544">
        <f>'Operating Account'!Y6</f>
        <v>0</v>
      </c>
      <c r="W4" s="1544">
        <f>'Operating Account'!Z6</f>
        <v>0</v>
      </c>
      <c r="X4" s="1544">
        <f>'Operating Account'!AA6</f>
        <v>0</v>
      </c>
      <c r="Y4" s="1544">
        <f>'Operating Account'!AB6</f>
        <v>0</v>
      </c>
      <c r="Z4" s="1544">
        <f>'Operating Account'!AC6</f>
        <v>0</v>
      </c>
      <c r="AA4" s="1543">
        <f>'Operating Account'!AD6</f>
        <v>0</v>
      </c>
      <c r="AB4" s="1542">
        <f t="shared" ref="AB4:AB10" si="0">SUM(B4:AA4)</f>
        <v>4466</v>
      </c>
    </row>
    <row r="5" spans="1:28" x14ac:dyDescent="0.3">
      <c r="A5" s="1541" t="s">
        <v>1038</v>
      </c>
      <c r="B5" s="1539">
        <v>0</v>
      </c>
      <c r="C5" s="1538">
        <f>'Operating Account'!D7</f>
        <v>2233</v>
      </c>
      <c r="D5" s="1537">
        <f>'Operating Account'!G7</f>
        <v>0</v>
      </c>
      <c r="E5" s="1537">
        <f>'Operating Account'!H7</f>
        <v>0</v>
      </c>
      <c r="F5" s="1537">
        <f>'Operating Account'!I7</f>
        <v>0</v>
      </c>
      <c r="G5" s="1537">
        <f>'Operating Account'!J7</f>
        <v>0</v>
      </c>
      <c r="H5" s="1537">
        <f>'Operating Account'!K7</f>
        <v>0</v>
      </c>
      <c r="I5" s="1537">
        <f>'Operating Account'!L7</f>
        <v>0</v>
      </c>
      <c r="J5" s="1537">
        <f>'Operating Account'!M7</f>
        <v>0</v>
      </c>
      <c r="K5" s="1537">
        <f>'Operating Account'!N7</f>
        <v>0</v>
      </c>
      <c r="L5" s="1537">
        <f>'Operating Account'!O7</f>
        <v>0</v>
      </c>
      <c r="M5" s="1537">
        <f>'Operating Account'!P7</f>
        <v>0</v>
      </c>
      <c r="N5" s="1537">
        <f>'Operating Account'!Q7</f>
        <v>0</v>
      </c>
      <c r="O5" s="1537">
        <f>'Operating Account'!R7</f>
        <v>0</v>
      </c>
      <c r="P5" s="1537">
        <f>'Operating Account'!S7</f>
        <v>0</v>
      </c>
      <c r="Q5" s="1537">
        <f>'Operating Account'!T7</f>
        <v>0</v>
      </c>
      <c r="R5" s="1537">
        <f>'Operating Account'!U7</f>
        <v>0</v>
      </c>
      <c r="S5" s="1537">
        <f>'Operating Account'!V7</f>
        <v>0</v>
      </c>
      <c r="T5" s="1537">
        <f>'Operating Account'!W7</f>
        <v>0</v>
      </c>
      <c r="U5" s="1537">
        <f>'Operating Account'!X7</f>
        <v>0</v>
      </c>
      <c r="V5" s="1537">
        <f>'Operating Account'!Y7</f>
        <v>0</v>
      </c>
      <c r="W5" s="1537">
        <f>'Operating Account'!Z7</f>
        <v>0</v>
      </c>
      <c r="X5" s="1537">
        <f>'Operating Account'!AA7</f>
        <v>0</v>
      </c>
      <c r="Y5" s="1537">
        <f>'Operating Account'!AB7</f>
        <v>0</v>
      </c>
      <c r="Z5" s="1537">
        <f>'Operating Account'!AC7</f>
        <v>0</v>
      </c>
      <c r="AA5" s="1536">
        <f>'Operating Account'!AD7</f>
        <v>0</v>
      </c>
      <c r="AB5" s="1535">
        <f t="shared" si="0"/>
        <v>2233</v>
      </c>
    </row>
    <row r="6" spans="1:28" ht="15" thickBot="1" x14ac:dyDescent="0.35">
      <c r="A6" s="1540" t="s">
        <v>1037</v>
      </c>
      <c r="B6" s="1539">
        <v>0</v>
      </c>
      <c r="C6" s="1538">
        <f>'Operating Account'!D8</f>
        <v>0</v>
      </c>
      <c r="D6" s="1537">
        <f>'Operating Account'!G8</f>
        <v>0</v>
      </c>
      <c r="E6" s="1537">
        <f>'Operating Account'!H8</f>
        <v>0</v>
      </c>
      <c r="F6" s="1537">
        <f>'Operating Account'!I8</f>
        <v>0</v>
      </c>
      <c r="G6" s="1537">
        <f>'Operating Account'!J8</f>
        <v>0</v>
      </c>
      <c r="H6" s="1537">
        <f>'Operating Account'!K8</f>
        <v>0</v>
      </c>
      <c r="I6" s="1537">
        <f>'Operating Account'!L8</f>
        <v>0</v>
      </c>
      <c r="J6" s="1537">
        <f>'Operating Account'!M8</f>
        <v>0</v>
      </c>
      <c r="K6" s="1537">
        <f>'Operating Account'!N8</f>
        <v>0</v>
      </c>
      <c r="L6" s="1537">
        <f>'Operating Account'!O8</f>
        <v>0</v>
      </c>
      <c r="M6" s="1537">
        <f>'Operating Account'!P8</f>
        <v>0</v>
      </c>
      <c r="N6" s="1537">
        <f>'Operating Account'!Q8</f>
        <v>0</v>
      </c>
      <c r="O6" s="1537">
        <f>'Operating Account'!R8</f>
        <v>0</v>
      </c>
      <c r="P6" s="1537">
        <f>'Operating Account'!S8</f>
        <v>0</v>
      </c>
      <c r="Q6" s="1537">
        <f>'Operating Account'!T8</f>
        <v>0</v>
      </c>
      <c r="R6" s="1537">
        <f>'Operating Account'!U8</f>
        <v>0</v>
      </c>
      <c r="S6" s="1537">
        <f>'Operating Account'!V8</f>
        <v>0</v>
      </c>
      <c r="T6" s="1537">
        <f>'Operating Account'!W8</f>
        <v>0</v>
      </c>
      <c r="U6" s="1537">
        <f>'Operating Account'!X8</f>
        <v>0</v>
      </c>
      <c r="V6" s="1537">
        <f>'Operating Account'!Y8</f>
        <v>0</v>
      </c>
      <c r="W6" s="1537">
        <f>'Operating Account'!Z8</f>
        <v>0</v>
      </c>
      <c r="X6" s="1537">
        <f>'Operating Account'!AA8</f>
        <v>0</v>
      </c>
      <c r="Y6" s="1537">
        <f>'Operating Account'!AB8</f>
        <v>0</v>
      </c>
      <c r="Z6" s="1537">
        <f>'Operating Account'!AC8</f>
        <v>0</v>
      </c>
      <c r="AA6" s="1536">
        <f>'Operating Account'!AD8</f>
        <v>0</v>
      </c>
      <c r="AB6" s="1535">
        <f t="shared" si="0"/>
        <v>0</v>
      </c>
    </row>
    <row r="7" spans="1:28" ht="16.8" thickBot="1" x14ac:dyDescent="0.5">
      <c r="A7" s="1534" t="s">
        <v>1036</v>
      </c>
      <c r="B7" s="1533">
        <f t="shared" ref="B7:AA7" si="1">SUM(B4:B6)</f>
        <v>0</v>
      </c>
      <c r="C7" s="1532">
        <f t="shared" si="1"/>
        <v>6699</v>
      </c>
      <c r="D7" s="1531">
        <f t="shared" si="1"/>
        <v>0</v>
      </c>
      <c r="E7" s="1531">
        <f t="shared" si="1"/>
        <v>0</v>
      </c>
      <c r="F7" s="1531">
        <f t="shared" si="1"/>
        <v>0</v>
      </c>
      <c r="G7" s="1531">
        <f t="shared" si="1"/>
        <v>0</v>
      </c>
      <c r="H7" s="1531">
        <f t="shared" si="1"/>
        <v>0</v>
      </c>
      <c r="I7" s="1531">
        <f t="shared" si="1"/>
        <v>0</v>
      </c>
      <c r="J7" s="1531">
        <f t="shared" si="1"/>
        <v>0</v>
      </c>
      <c r="K7" s="1531">
        <f t="shared" si="1"/>
        <v>0</v>
      </c>
      <c r="L7" s="1531">
        <f t="shared" si="1"/>
        <v>0</v>
      </c>
      <c r="M7" s="1531">
        <f t="shared" si="1"/>
        <v>0</v>
      </c>
      <c r="N7" s="1531">
        <f t="shared" si="1"/>
        <v>0</v>
      </c>
      <c r="O7" s="1531">
        <f t="shared" si="1"/>
        <v>0</v>
      </c>
      <c r="P7" s="1531">
        <f t="shared" si="1"/>
        <v>0</v>
      </c>
      <c r="Q7" s="1531">
        <f t="shared" si="1"/>
        <v>0</v>
      </c>
      <c r="R7" s="1531">
        <f t="shared" si="1"/>
        <v>0</v>
      </c>
      <c r="S7" s="1531">
        <f t="shared" si="1"/>
        <v>0</v>
      </c>
      <c r="T7" s="1531">
        <f t="shared" si="1"/>
        <v>0</v>
      </c>
      <c r="U7" s="1531">
        <f t="shared" si="1"/>
        <v>0</v>
      </c>
      <c r="V7" s="1531">
        <f t="shared" si="1"/>
        <v>0</v>
      </c>
      <c r="W7" s="1531">
        <f t="shared" si="1"/>
        <v>0</v>
      </c>
      <c r="X7" s="1531">
        <f t="shared" si="1"/>
        <v>0</v>
      </c>
      <c r="Y7" s="1531">
        <f t="shared" si="1"/>
        <v>0</v>
      </c>
      <c r="Z7" s="1531">
        <f t="shared" si="1"/>
        <v>0</v>
      </c>
      <c r="AA7" s="1530">
        <f t="shared" si="1"/>
        <v>0</v>
      </c>
      <c r="AB7" s="1529">
        <f t="shared" si="0"/>
        <v>6699</v>
      </c>
    </row>
    <row r="8" spans="1:28" x14ac:dyDescent="0.3">
      <c r="A8" s="1528" t="s">
        <v>1035</v>
      </c>
      <c r="B8" s="1526" t="e">
        <f>-'Hipóteses xerais (2)'!$F$35</f>
        <v>#N/A</v>
      </c>
      <c r="C8" s="1525"/>
      <c r="D8" s="1524"/>
      <c r="E8" s="1524"/>
      <c r="F8" s="1524"/>
      <c r="G8" s="1524"/>
      <c r="H8" s="1524"/>
      <c r="I8" s="1524"/>
      <c r="J8" s="1524"/>
      <c r="K8" s="1524"/>
      <c r="L8" s="1524"/>
      <c r="M8" s="1524"/>
      <c r="N8" s="1524"/>
      <c r="O8" s="1524"/>
      <c r="P8" s="1524"/>
      <c r="Q8" s="1524"/>
      <c r="R8" s="1524"/>
      <c r="S8" s="1524"/>
      <c r="T8" s="1524"/>
      <c r="U8" s="1524"/>
      <c r="V8" s="1524"/>
      <c r="W8" s="1524"/>
      <c r="X8" s="1524"/>
      <c r="Y8" s="1524"/>
      <c r="Z8" s="1524"/>
      <c r="AA8" s="1523"/>
      <c r="AB8" s="1522" t="e">
        <f t="shared" si="0"/>
        <v>#N/A</v>
      </c>
    </row>
    <row r="9" spans="1:28" ht="15" thickBot="1" x14ac:dyDescent="0.35">
      <c r="A9" s="1527" t="s">
        <v>1034</v>
      </c>
      <c r="B9" s="1526">
        <v>0</v>
      </c>
      <c r="C9" s="1525">
        <f>-'Operating Account'!D13</f>
        <v>-2470.4699999999998</v>
      </c>
      <c r="D9" s="1524">
        <f>-'Operating Account'!G13</f>
        <v>0</v>
      </c>
      <c r="E9" s="1524">
        <f>-'Operating Account'!H13</f>
        <v>0</v>
      </c>
      <c r="F9" s="1524">
        <f>-'Operating Account'!I13</f>
        <v>0</v>
      </c>
      <c r="G9" s="1524">
        <f>-'Operating Account'!J13</f>
        <v>0</v>
      </c>
      <c r="H9" s="1524">
        <f>-'Operating Account'!K13</f>
        <v>0</v>
      </c>
      <c r="I9" s="1524">
        <f>-'Operating Account'!L13</f>
        <v>0</v>
      </c>
      <c r="J9" s="1524">
        <f>-'Operating Account'!M13</f>
        <v>0</v>
      </c>
      <c r="K9" s="1524">
        <f>-'Operating Account'!N13</f>
        <v>0</v>
      </c>
      <c r="L9" s="1524">
        <f>-'Operating Account'!O13</f>
        <v>0</v>
      </c>
      <c r="M9" s="1524">
        <f>-'Operating Account'!P13</f>
        <v>0</v>
      </c>
      <c r="N9" s="1524">
        <f>-'Operating Account'!Q13</f>
        <v>0</v>
      </c>
      <c r="O9" s="1524">
        <f>-'Operating Account'!R13</f>
        <v>0</v>
      </c>
      <c r="P9" s="1524">
        <f>-'Operating Account'!S13</f>
        <v>0</v>
      </c>
      <c r="Q9" s="1524">
        <f>-'Operating Account'!T13</f>
        <v>0</v>
      </c>
      <c r="R9" s="1524">
        <f>-'Operating Account'!U13</f>
        <v>0</v>
      </c>
      <c r="S9" s="1524">
        <f>-'Operating Account'!V13</f>
        <v>0</v>
      </c>
      <c r="T9" s="1524">
        <f>-'Operating Account'!W13</f>
        <v>0</v>
      </c>
      <c r="U9" s="1524">
        <f>-'Operating Account'!X13</f>
        <v>0</v>
      </c>
      <c r="V9" s="1524">
        <f>-'Operating Account'!Y13</f>
        <v>0</v>
      </c>
      <c r="W9" s="1524">
        <f>-'Operating Account'!Z13</f>
        <v>0</v>
      </c>
      <c r="X9" s="1524">
        <f>-'Operating Account'!AA13</f>
        <v>0</v>
      </c>
      <c r="Y9" s="1524">
        <f>-'Operating Account'!AB13</f>
        <v>0</v>
      </c>
      <c r="Z9" s="1524">
        <f>-'Operating Account'!AC13</f>
        <v>0</v>
      </c>
      <c r="AA9" s="1523">
        <f>-'Operating Account'!AD13</f>
        <v>0</v>
      </c>
      <c r="AB9" s="1522">
        <f t="shared" si="0"/>
        <v>-2470.4699999999998</v>
      </c>
    </row>
    <row r="10" spans="1:28" ht="16.8" thickBot="1" x14ac:dyDescent="0.35">
      <c r="A10" s="1521" t="s">
        <v>1033</v>
      </c>
      <c r="B10" s="1520" t="e">
        <f t="shared" ref="B10:AA10" si="2">SUM(B8:B9)</f>
        <v>#N/A</v>
      </c>
      <c r="C10" s="1519">
        <f t="shared" si="2"/>
        <v>-2470.4699999999998</v>
      </c>
      <c r="D10" s="1518">
        <f t="shared" si="2"/>
        <v>0</v>
      </c>
      <c r="E10" s="1518">
        <f t="shared" si="2"/>
        <v>0</v>
      </c>
      <c r="F10" s="1518">
        <f t="shared" si="2"/>
        <v>0</v>
      </c>
      <c r="G10" s="1518">
        <f t="shared" si="2"/>
        <v>0</v>
      </c>
      <c r="H10" s="1518">
        <f t="shared" si="2"/>
        <v>0</v>
      </c>
      <c r="I10" s="1518">
        <f t="shared" si="2"/>
        <v>0</v>
      </c>
      <c r="J10" s="1518">
        <f t="shared" si="2"/>
        <v>0</v>
      </c>
      <c r="K10" s="1518">
        <f t="shared" si="2"/>
        <v>0</v>
      </c>
      <c r="L10" s="1518">
        <f t="shared" si="2"/>
        <v>0</v>
      </c>
      <c r="M10" s="1518">
        <f t="shared" si="2"/>
        <v>0</v>
      </c>
      <c r="N10" s="1518">
        <f t="shared" si="2"/>
        <v>0</v>
      </c>
      <c r="O10" s="1518">
        <f t="shared" si="2"/>
        <v>0</v>
      </c>
      <c r="P10" s="1518">
        <f t="shared" si="2"/>
        <v>0</v>
      </c>
      <c r="Q10" s="1518">
        <f t="shared" si="2"/>
        <v>0</v>
      </c>
      <c r="R10" s="1518">
        <f t="shared" si="2"/>
        <v>0</v>
      </c>
      <c r="S10" s="1518">
        <f t="shared" si="2"/>
        <v>0</v>
      </c>
      <c r="T10" s="1518">
        <f t="shared" si="2"/>
        <v>0</v>
      </c>
      <c r="U10" s="1518">
        <f t="shared" si="2"/>
        <v>0</v>
      </c>
      <c r="V10" s="1518">
        <f t="shared" si="2"/>
        <v>0</v>
      </c>
      <c r="W10" s="1518">
        <f t="shared" si="2"/>
        <v>0</v>
      </c>
      <c r="X10" s="1518">
        <f t="shared" si="2"/>
        <v>0</v>
      </c>
      <c r="Y10" s="1518">
        <f t="shared" si="2"/>
        <v>0</v>
      </c>
      <c r="Z10" s="1518">
        <f t="shared" si="2"/>
        <v>0</v>
      </c>
      <c r="AA10" s="1517">
        <f t="shared" si="2"/>
        <v>0</v>
      </c>
      <c r="AB10" s="1516" t="e">
        <f t="shared" si="0"/>
        <v>#N/A</v>
      </c>
    </row>
    <row r="11" spans="1:28" ht="15" thickBot="1" x14ac:dyDescent="0.35">
      <c r="A11" s="166"/>
      <c r="AA11" s="712"/>
      <c r="AB11" s="1032"/>
    </row>
    <row r="12" spans="1:28" ht="17.399999999999999" thickTop="1" thickBot="1" x14ac:dyDescent="0.5">
      <c r="A12" s="1515" t="s">
        <v>1032</v>
      </c>
      <c r="B12" s="1514" t="e">
        <f t="shared" ref="B12:AA12" si="3">B7+B10</f>
        <v>#N/A</v>
      </c>
      <c r="C12" s="1513">
        <f t="shared" si="3"/>
        <v>4228.5300000000007</v>
      </c>
      <c r="D12" s="1512">
        <f t="shared" si="3"/>
        <v>0</v>
      </c>
      <c r="E12" s="1512">
        <f t="shared" si="3"/>
        <v>0</v>
      </c>
      <c r="F12" s="1512">
        <f t="shared" si="3"/>
        <v>0</v>
      </c>
      <c r="G12" s="1512">
        <f t="shared" si="3"/>
        <v>0</v>
      </c>
      <c r="H12" s="1512">
        <f t="shared" si="3"/>
        <v>0</v>
      </c>
      <c r="I12" s="1512">
        <f t="shared" si="3"/>
        <v>0</v>
      </c>
      <c r="J12" s="1512">
        <f t="shared" si="3"/>
        <v>0</v>
      </c>
      <c r="K12" s="1512">
        <f t="shared" si="3"/>
        <v>0</v>
      </c>
      <c r="L12" s="1512">
        <f t="shared" si="3"/>
        <v>0</v>
      </c>
      <c r="M12" s="1512">
        <f t="shared" si="3"/>
        <v>0</v>
      </c>
      <c r="N12" s="1512">
        <f t="shared" si="3"/>
        <v>0</v>
      </c>
      <c r="O12" s="1512">
        <f t="shared" si="3"/>
        <v>0</v>
      </c>
      <c r="P12" s="1512">
        <f t="shared" si="3"/>
        <v>0</v>
      </c>
      <c r="Q12" s="1512">
        <f t="shared" si="3"/>
        <v>0</v>
      </c>
      <c r="R12" s="1512">
        <f t="shared" si="3"/>
        <v>0</v>
      </c>
      <c r="S12" s="1512">
        <f t="shared" si="3"/>
        <v>0</v>
      </c>
      <c r="T12" s="1512">
        <f t="shared" si="3"/>
        <v>0</v>
      </c>
      <c r="U12" s="1512">
        <f t="shared" si="3"/>
        <v>0</v>
      </c>
      <c r="V12" s="1512">
        <f t="shared" si="3"/>
        <v>0</v>
      </c>
      <c r="W12" s="1512">
        <f t="shared" si="3"/>
        <v>0</v>
      </c>
      <c r="X12" s="1512">
        <f t="shared" si="3"/>
        <v>0</v>
      </c>
      <c r="Y12" s="1512">
        <f t="shared" si="3"/>
        <v>0</v>
      </c>
      <c r="Z12" s="1512">
        <f t="shared" si="3"/>
        <v>0</v>
      </c>
      <c r="AA12" s="1511">
        <f t="shared" si="3"/>
        <v>0</v>
      </c>
      <c r="AB12" s="1510" t="e">
        <f>SUM(B12:AA12)</f>
        <v>#N/A</v>
      </c>
    </row>
    <row r="13" spans="1:28" ht="15" thickBot="1" x14ac:dyDescent="0.35">
      <c r="A13" s="1509" t="s">
        <v>1031</v>
      </c>
      <c r="B13" s="1508" t="e">
        <f>B12/((1+'Hipóteses xerais (2)'!$C$33)^B$2)</f>
        <v>#N/A</v>
      </c>
      <c r="C13" s="1508">
        <f>C12/((1+'Hipóteses xerais (2)'!$C$33)^C$2)</f>
        <v>4095.2302551934536</v>
      </c>
      <c r="D13" s="1508">
        <f>D12/((1+'Hipóteses xerais (2)'!$C$33)^D$2)</f>
        <v>0</v>
      </c>
      <c r="E13" s="1508">
        <f>E12/((1+'Hipóteses xerais (2)'!$C$33)^E$2)</f>
        <v>0</v>
      </c>
      <c r="F13" s="1508">
        <f>F12/((1+'Hipóteses xerais (2)'!$C$33)^F$2)</f>
        <v>0</v>
      </c>
      <c r="G13" s="1508">
        <f>G12/((1+'Hipóteses xerais (2)'!$C$33)^G$2)</f>
        <v>0</v>
      </c>
      <c r="H13" s="1508">
        <f>H12/((1+'Hipóteses xerais (2)'!$C$33)^H$2)</f>
        <v>0</v>
      </c>
      <c r="I13" s="1508">
        <f>I12/((1+'Hipóteses xerais (2)'!$C$33)^I$2)</f>
        <v>0</v>
      </c>
      <c r="J13" s="1508">
        <f>J12/((1+'Hipóteses xerais (2)'!$C$33)^J$2)</f>
        <v>0</v>
      </c>
      <c r="K13" s="1508">
        <f>K12/((1+'Hipóteses xerais (2)'!$C$33)^K$2)</f>
        <v>0</v>
      </c>
      <c r="L13" s="1508">
        <f>L12/((1+'Hipóteses xerais (2)'!$C$33)^L$2)</f>
        <v>0</v>
      </c>
      <c r="M13" s="1508">
        <f>M12/((1+'Hipóteses xerais (2)'!$C$33)^M$2)</f>
        <v>0</v>
      </c>
      <c r="N13" s="1508">
        <f>N12/((1+'Hipóteses xerais (2)'!$C$33)^N$2)</f>
        <v>0</v>
      </c>
      <c r="O13" s="1508">
        <f>O12/((1+'Hipóteses xerais (2)'!$C$33)^O$2)</f>
        <v>0</v>
      </c>
      <c r="P13" s="1508">
        <f>P12/((1+'Hipóteses xerais (2)'!$C$33)^P$2)</f>
        <v>0</v>
      </c>
      <c r="Q13" s="1508">
        <f>Q12/((1+'Hipóteses xerais (2)'!$C$33)^Q$2)</f>
        <v>0</v>
      </c>
      <c r="R13" s="1508">
        <f>R12/((1+'Hipóteses xerais (2)'!$C$33)^R$2)</f>
        <v>0</v>
      </c>
      <c r="S13" s="1508">
        <f>S12/((1+'Hipóteses xerais (2)'!$C$33)^S$2)</f>
        <v>0</v>
      </c>
      <c r="T13" s="1508">
        <f>T12/((1+'Hipóteses xerais (2)'!$C$33)^T$2)</f>
        <v>0</v>
      </c>
      <c r="U13" s="1508">
        <f>U12/((1+'Hipóteses xerais (2)'!$C$33)^U$2)</f>
        <v>0</v>
      </c>
      <c r="V13" s="1508">
        <f>V12/((1+'Hipóteses xerais (2)'!$C$33)^V$2)</f>
        <v>0</v>
      </c>
      <c r="W13" s="1508">
        <f>W12/((1+'Hipóteses xerais (2)'!$C$33)^W$2)</f>
        <v>0</v>
      </c>
      <c r="X13" s="1508">
        <f>X12/((1+'Hipóteses xerais (2)'!$C$33)^X$2)</f>
        <v>0</v>
      </c>
      <c r="Y13" s="1508">
        <f>Y12/((1+'Hipóteses xerais (2)'!$C$33)^Y$2)</f>
        <v>0</v>
      </c>
      <c r="Z13" s="1508">
        <f>Z12/((1+'Hipóteses xerais (2)'!$C$33)^Z$2)</f>
        <v>0</v>
      </c>
      <c r="AA13" s="1507">
        <f>AA12/((1+'Hipóteses xerais (2)'!$C$33)^AA$2)</f>
        <v>0</v>
      </c>
      <c r="AB13" s="1506" t="e">
        <f>SUM(B13:AA13)</f>
        <v>#N/A</v>
      </c>
    </row>
    <row r="14" spans="1:28" ht="15" thickTop="1" x14ac:dyDescent="0.3"/>
    <row r="15" spans="1:28" ht="15" thickBot="1" x14ac:dyDescent="0.35"/>
    <row r="16" spans="1:28" ht="15.6" thickTop="1" thickBot="1" x14ac:dyDescent="0.35">
      <c r="A16" s="965" t="s">
        <v>1030</v>
      </c>
      <c r="B16" s="970" t="e">
        <f>IRR(B12:AA12)</f>
        <v>#VALUE!</v>
      </c>
    </row>
    <row r="17" spans="1:2" ht="15.6" thickTop="1" thickBot="1" x14ac:dyDescent="0.35">
      <c r="A17" s="965" t="s">
        <v>988</v>
      </c>
      <c r="B17" s="970" t="e">
        <f>MIRR(B12:AA12,'Hipóteses xerais (2)'!$C$33,'Hipóteses xerais (2)'!$C$33)</f>
        <v>#N/A</v>
      </c>
    </row>
    <row r="18" spans="1:2" ht="15.6" thickTop="1" thickBot="1" x14ac:dyDescent="0.35">
      <c r="A18" s="965" t="s">
        <v>1029</v>
      </c>
      <c r="B18" s="966" t="e">
        <f>NPV(5%,B12:AA12)</f>
        <v>#N/A</v>
      </c>
    </row>
    <row r="19" spans="1:2" ht="15.6" thickTop="1" thickBot="1" x14ac:dyDescent="0.35">
      <c r="A19" s="965" t="s">
        <v>986</v>
      </c>
      <c r="B19" s="1505" t="e">
        <f>-$B$13/AVERAGE(C13:AA13)</f>
        <v>#N/A</v>
      </c>
    </row>
    <row r="20" spans="1:2" ht="15" thickTop="1" x14ac:dyDescent="0.3">
      <c r="A20" s="963" t="s">
        <v>984</v>
      </c>
      <c r="B20" s="1027" t="e">
        <f>'Hipóteses xerais (2)'!$F$35</f>
        <v>#N/A</v>
      </c>
    </row>
    <row r="21" spans="1:2" x14ac:dyDescent="0.3">
      <c r="A21" s="963" t="s">
        <v>1028</v>
      </c>
      <c r="B21" s="962" t="e">
        <f>IF('Hipóteses xerais (2)'!$E$64="Si",'Hipóteses xerais (2)'!$C$62,0)</f>
        <v>#N/A</v>
      </c>
    </row>
    <row r="22" spans="1:2" ht="15" thickBot="1" x14ac:dyDescent="0.35">
      <c r="A22" s="961" t="s">
        <v>1027</v>
      </c>
      <c r="B22" s="960">
        <f>'x Financiamento'!$E$11</f>
        <v>0</v>
      </c>
    </row>
    <row r="23" spans="1:2" ht="15.6" thickTop="1" thickBot="1" x14ac:dyDescent="0.35">
      <c r="A23" s="710" t="s">
        <v>981</v>
      </c>
      <c r="B23" s="757" t="e">
        <f>SUM(B20:B22)</f>
        <v>#N/A</v>
      </c>
    </row>
    <row r="24" spans="1:2" ht="15.6" thickTop="1" thickBot="1" x14ac:dyDescent="0.35">
      <c r="A24" s="710" t="s">
        <v>980</v>
      </c>
      <c r="B24" s="757" t="e">
        <f>'Hipóteses xerais (2)'!$C$91</f>
        <v>#N/A</v>
      </c>
    </row>
    <row r="25" spans="1:2" ht="15" thickTop="1" x14ac:dyDescent="0.3">
      <c r="A25" s="959" t="s">
        <v>979</v>
      </c>
      <c r="B25" s="713" t="e">
        <f>'Hipóteses xerais (2)'!$C$19</f>
        <v>#N/A</v>
      </c>
    </row>
    <row r="26" spans="1:2" ht="15" thickBot="1" x14ac:dyDescent="0.35">
      <c r="A26" s="958" t="s">
        <v>978</v>
      </c>
      <c r="B26" s="957" t="e">
        <f>'Hipóteses xerais (2)'!$C$74</f>
        <v>#N/A</v>
      </c>
    </row>
    <row r="27" spans="1:2" ht="15" thickTop="1" x14ac:dyDescent="0.3"/>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E3AF-CF47-4658-B8F7-33F328E2880D}">
  <sheetPr>
    <tabColor rgb="FFA365D1"/>
  </sheetPr>
  <dimension ref="A1:AE33"/>
  <sheetViews>
    <sheetView topLeftCell="A7" workbookViewId="0">
      <selection sqref="A1:B19"/>
    </sheetView>
  </sheetViews>
  <sheetFormatPr baseColWidth="10" defaultColWidth="8.88671875" defaultRowHeight="14.4" x14ac:dyDescent="0.3"/>
  <cols>
    <col min="1" max="1" width="54.33203125" customWidth="1"/>
    <col min="2" max="2" width="11.77734375" bestFit="1" customWidth="1"/>
    <col min="3" max="10" width="11.5546875" hidden="1" customWidth="1"/>
    <col min="11" max="22" width="11.88671875" hidden="1" customWidth="1"/>
    <col min="23" max="23" width="11.77734375" hidden="1" customWidth="1"/>
    <col min="24" max="25" width="11.88671875" hidden="1" customWidth="1"/>
    <col min="26" max="26" width="12.77734375" hidden="1" customWidth="1"/>
    <col min="27" max="27" width="19.88671875" hidden="1" customWidth="1"/>
  </cols>
  <sheetData>
    <row r="1" spans="1:29" ht="15.6" thickTop="1" thickBot="1" x14ac:dyDescent="0.35">
      <c r="B1" s="1120">
        <f>'General Real Data (Obs.)'!$E$4</f>
        <v>1</v>
      </c>
      <c r="C1" s="1121">
        <v>2</v>
      </c>
      <c r="D1" s="1121">
        <v>3</v>
      </c>
      <c r="E1" s="1121">
        <v>4</v>
      </c>
      <c r="F1" s="1121">
        <v>5</v>
      </c>
      <c r="G1" s="1121">
        <v>6</v>
      </c>
      <c r="H1" s="1121">
        <v>7</v>
      </c>
      <c r="I1" s="1121">
        <v>8</v>
      </c>
      <c r="J1" s="1121">
        <v>9</v>
      </c>
      <c r="K1" s="1121">
        <v>10</v>
      </c>
      <c r="L1" s="1121">
        <v>11</v>
      </c>
      <c r="M1" s="1121">
        <v>12</v>
      </c>
      <c r="N1" s="1121">
        <v>13</v>
      </c>
      <c r="O1" s="1121">
        <v>14</v>
      </c>
      <c r="P1" s="1121">
        <v>15</v>
      </c>
      <c r="Q1" s="1121">
        <v>16</v>
      </c>
      <c r="R1" s="1121">
        <v>17</v>
      </c>
      <c r="S1" s="1121">
        <v>18</v>
      </c>
      <c r="T1" s="1121">
        <v>19</v>
      </c>
      <c r="U1" s="1121">
        <v>20</v>
      </c>
      <c r="V1" s="1121">
        <v>21</v>
      </c>
      <c r="W1" s="1121">
        <v>22</v>
      </c>
      <c r="X1" s="1121">
        <v>23</v>
      </c>
      <c r="Y1" s="1121">
        <v>24</v>
      </c>
      <c r="Z1" s="1593">
        <v>25</v>
      </c>
      <c r="AA1" s="1120" t="str">
        <f>VLOOKUP("Total",tabIdiomas26[],MATCH('Indiv. Invoices Comparison'!$J$2,tabIdiomas26[#Headers]),FALSE)</f>
        <v>Total</v>
      </c>
    </row>
    <row r="2" spans="1:29" ht="15" thickBot="1" x14ac:dyDescent="0.35">
      <c r="B2" s="1118">
        <f>'General Real Data (Obs.)'!$E$5</f>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571">
        <v>2049</v>
      </c>
      <c r="AA2" s="1118" t="str">
        <f>VLOOKUP("Conxunto do Proxecto",tabIdiomas26[],MATCH('Indiv. Invoices Comparison'!$J$2,tabIdiomas26[#Headers]),FALSE)</f>
        <v>Project Lifetime</v>
      </c>
    </row>
    <row r="3" spans="1:29" ht="15" thickTop="1" x14ac:dyDescent="0.3">
      <c r="A3" s="1592" t="str">
        <f>VLOOKUP("Ingresos por Enerxía Autoconsumida",tabIdiomas26[],MATCH('Indiv. Invoices Comparison'!$J$2,tabIdiomas26[#Headers]),FALSE)</f>
        <v>Revenues from Self-Consumed Energy</v>
      </c>
      <c r="B3" s="1803">
        <f>'General Real Data (Obs.)'!E6</f>
        <v>4466</v>
      </c>
      <c r="C3" s="1583" t="e">
        <f>'Conta explotación'!G6</f>
        <v>#N/A</v>
      </c>
      <c r="D3" s="1583" t="e">
        <f>'Conta explotación'!H6</f>
        <v>#N/A</v>
      </c>
      <c r="E3" s="1583" t="e">
        <f>'Conta explotación'!I6</f>
        <v>#N/A</v>
      </c>
      <c r="F3" s="1583" t="e">
        <f>'Conta explotación'!J6</f>
        <v>#N/A</v>
      </c>
      <c r="G3" s="1583" t="e">
        <f>'Conta explotación'!K6</f>
        <v>#N/A</v>
      </c>
      <c r="H3" s="1583" t="e">
        <f>'Conta explotación'!L6</f>
        <v>#N/A</v>
      </c>
      <c r="I3" s="1583" t="e">
        <f>'Conta explotación'!M6</f>
        <v>#N/A</v>
      </c>
      <c r="J3" s="1583" t="e">
        <f>'Conta explotación'!N6</f>
        <v>#N/A</v>
      </c>
      <c r="K3" s="1583" t="e">
        <f>'Conta explotación'!O6</f>
        <v>#N/A</v>
      </c>
      <c r="L3" s="1583" t="e">
        <f>'Conta explotación'!P6</f>
        <v>#N/A</v>
      </c>
      <c r="M3" s="1583" t="e">
        <f>'Conta explotación'!Q6</f>
        <v>#N/A</v>
      </c>
      <c r="N3" s="1583" t="e">
        <f>'Conta explotación'!R6</f>
        <v>#N/A</v>
      </c>
      <c r="O3" s="1583" t="e">
        <f>'Conta explotación'!S6</f>
        <v>#N/A</v>
      </c>
      <c r="P3" s="1583" t="e">
        <f>'Conta explotación'!T6</f>
        <v>#N/A</v>
      </c>
      <c r="Q3" s="1583" t="e">
        <f>'Conta explotación'!U6</f>
        <v>#N/A</v>
      </c>
      <c r="R3" s="1583" t="e">
        <f>'Conta explotación'!V6</f>
        <v>#N/A</v>
      </c>
      <c r="S3" s="1583" t="e">
        <f>'Conta explotación'!W6</f>
        <v>#N/A</v>
      </c>
      <c r="T3" s="1583" t="e">
        <f>'Conta explotación'!X6</f>
        <v>#N/A</v>
      </c>
      <c r="U3" s="1583" t="e">
        <f>'Conta explotación'!Y6</f>
        <v>#N/A</v>
      </c>
      <c r="V3" s="1583" t="e">
        <f>'Conta explotación'!Z6</f>
        <v>#N/A</v>
      </c>
      <c r="W3" s="1583" t="e">
        <f>'Conta explotación'!AA6</f>
        <v>#N/A</v>
      </c>
      <c r="X3" s="1583" t="e">
        <f>'Conta explotación'!AB6</f>
        <v>#N/A</v>
      </c>
      <c r="Y3" s="1583" t="e">
        <f>'Conta explotación'!AC6</f>
        <v>#N/A</v>
      </c>
      <c r="Z3" s="1582" t="e">
        <f>'Conta explotación'!AD6</f>
        <v>#N/A</v>
      </c>
      <c r="AA3" s="1591" t="e">
        <f>SUM(B3:Z3)</f>
        <v>#N/A</v>
      </c>
    </row>
    <row r="4" spans="1:29" ht="28.8" x14ac:dyDescent="0.3">
      <c r="A4" s="1590" t="str">
        <f>VLOOKUP("Ingresos por Enerxía Excedentaria Suxeita a Compensación",tabIdiomas26[],MATCH('Indiv. Invoices Comparison'!$J$2,tabIdiomas26[#Headers]),FALSE)</f>
        <v>Revenues from Excedentary Energy Subject to Energy Compensation</v>
      </c>
      <c r="B4" s="1804">
        <f>'General Real Data (Obs.)'!E7</f>
        <v>2233</v>
      </c>
      <c r="C4" s="1586" t="e">
        <f>'Conta explotación'!G7</f>
        <v>#N/A</v>
      </c>
      <c r="D4" s="1586" t="e">
        <f>'Conta explotación'!H7</f>
        <v>#N/A</v>
      </c>
      <c r="E4" s="1586" t="e">
        <f>'Conta explotación'!I7</f>
        <v>#N/A</v>
      </c>
      <c r="F4" s="1586" t="e">
        <f>'Conta explotación'!J7</f>
        <v>#N/A</v>
      </c>
      <c r="G4" s="1586" t="e">
        <f>'Conta explotación'!K7</f>
        <v>#N/A</v>
      </c>
      <c r="H4" s="1586" t="e">
        <f>'Conta explotación'!L7</f>
        <v>#N/A</v>
      </c>
      <c r="I4" s="1586" t="e">
        <f>'Conta explotación'!M7</f>
        <v>#N/A</v>
      </c>
      <c r="J4" s="1586" t="e">
        <f>'Conta explotación'!N7</f>
        <v>#N/A</v>
      </c>
      <c r="K4" s="1586" t="e">
        <f>'Conta explotación'!O7</f>
        <v>#N/A</v>
      </c>
      <c r="L4" s="1586" t="e">
        <f>'Conta explotación'!P7</f>
        <v>#N/A</v>
      </c>
      <c r="M4" s="1586" t="e">
        <f>'Conta explotación'!Q7</f>
        <v>#N/A</v>
      </c>
      <c r="N4" s="1586" t="e">
        <f>'Conta explotación'!R7</f>
        <v>#N/A</v>
      </c>
      <c r="O4" s="1586" t="e">
        <f>'Conta explotación'!S7</f>
        <v>#N/A</v>
      </c>
      <c r="P4" s="1586" t="e">
        <f>'Conta explotación'!T7</f>
        <v>#N/A</v>
      </c>
      <c r="Q4" s="1586" t="e">
        <f>'Conta explotación'!U7</f>
        <v>#N/A</v>
      </c>
      <c r="R4" s="1586" t="e">
        <f>'Conta explotación'!V7</f>
        <v>#N/A</v>
      </c>
      <c r="S4" s="1586" t="e">
        <f>'Conta explotación'!W7</f>
        <v>#N/A</v>
      </c>
      <c r="T4" s="1586" t="e">
        <f>'Conta explotación'!X7</f>
        <v>#N/A</v>
      </c>
      <c r="U4" s="1586" t="e">
        <f>'Conta explotación'!Y7</f>
        <v>#N/A</v>
      </c>
      <c r="V4" s="1586" t="e">
        <f>'Conta explotación'!Z7</f>
        <v>#N/A</v>
      </c>
      <c r="W4" s="1586" t="e">
        <f>'Conta explotación'!AA7</f>
        <v>#N/A</v>
      </c>
      <c r="X4" s="1586" t="e">
        <f>'Conta explotación'!AB7</f>
        <v>#N/A</v>
      </c>
      <c r="Y4" s="1586" t="e">
        <f>'Conta explotación'!AC7</f>
        <v>#N/A</v>
      </c>
      <c r="Z4" s="1589" t="e">
        <f>'Conta explotación'!AD7</f>
        <v>#N/A</v>
      </c>
      <c r="AA4" s="1588" t="e">
        <f>SUM(B4:Z4)</f>
        <v>#N/A</v>
      </c>
    </row>
    <row r="5" spans="1:29" ht="15" thickBot="1" x14ac:dyDescent="0.35">
      <c r="A5" s="1587" t="str">
        <f>VLOOKUP("Ingresos por Enerxía Excedentaria Vendida",tabIdiomas26[],MATCH('Indiv. Invoices Comparison'!$J$2,tabIdiomas26[#Headers]),FALSE)</f>
        <v>Revenues from Excedentary Energy Sold</v>
      </c>
      <c r="B5" s="1804">
        <f>'General Real Data (Obs.)'!E8</f>
        <v>0</v>
      </c>
      <c r="C5" s="1586" t="e">
        <f>'Conta explotación'!G8</f>
        <v>#N/A</v>
      </c>
      <c r="D5" s="1586" t="e">
        <f>'Conta explotación'!H8</f>
        <v>#N/A</v>
      </c>
      <c r="E5" s="1586" t="e">
        <f>'Conta explotación'!I8</f>
        <v>#N/A</v>
      </c>
      <c r="F5" s="1586" t="e">
        <f>'Conta explotación'!J8</f>
        <v>#N/A</v>
      </c>
      <c r="G5" s="1586" t="e">
        <f>'Conta explotación'!K8</f>
        <v>#N/A</v>
      </c>
      <c r="H5" s="1586" t="e">
        <f>'Conta explotación'!L8</f>
        <v>#N/A</v>
      </c>
      <c r="I5" s="1586" t="e">
        <f>'Conta explotación'!M8</f>
        <v>#N/A</v>
      </c>
      <c r="J5" s="1586" t="e">
        <f>'Conta explotación'!N8</f>
        <v>#N/A</v>
      </c>
      <c r="K5" s="1586" t="e">
        <f>'Conta explotación'!O8</f>
        <v>#N/A</v>
      </c>
      <c r="L5" s="1586" t="e">
        <f>'Conta explotación'!P8</f>
        <v>#N/A</v>
      </c>
      <c r="M5" s="1586" t="e">
        <f>'Conta explotación'!Q8</f>
        <v>#N/A</v>
      </c>
      <c r="N5" s="1586" t="e">
        <f>'Conta explotación'!R8</f>
        <v>#N/A</v>
      </c>
      <c r="O5" s="1586" t="e">
        <f>'Conta explotación'!S8</f>
        <v>#N/A</v>
      </c>
      <c r="P5" s="1586" t="e">
        <f>'Conta explotación'!T8</f>
        <v>#N/A</v>
      </c>
      <c r="Q5" s="1586" t="e">
        <f>'Conta explotación'!U8</f>
        <v>#N/A</v>
      </c>
      <c r="R5" s="1586" t="e">
        <f>'Conta explotación'!V8</f>
        <v>#N/A</v>
      </c>
      <c r="S5" s="1586" t="e">
        <f>'Conta explotación'!W8</f>
        <v>#N/A</v>
      </c>
      <c r="T5" s="1586" t="e">
        <f>'Conta explotación'!X8</f>
        <v>#N/A</v>
      </c>
      <c r="U5" s="1586" t="e">
        <f>'Conta explotación'!Y8</f>
        <v>#N/A</v>
      </c>
      <c r="V5" s="1586" t="e">
        <f>'Conta explotación'!Z8</f>
        <v>#N/A</v>
      </c>
      <c r="W5" s="1586" t="e">
        <f>'Conta explotación'!AA8</f>
        <v>#N/A</v>
      </c>
      <c r="X5" s="1586" t="e">
        <f>'Conta explotación'!AB8</f>
        <v>#N/A</v>
      </c>
      <c r="Y5" s="1586" t="e">
        <f>'Conta explotación'!AC8</f>
        <v>#N/A</v>
      </c>
      <c r="Z5" s="1585" t="e">
        <f>'Conta explotación'!AD8</f>
        <v>#N/A</v>
      </c>
      <c r="AA5" s="1577" t="e">
        <f>SUM(B5:Z5)</f>
        <v>#N/A</v>
      </c>
    </row>
    <row r="6" spans="1:29" ht="28.8" x14ac:dyDescent="0.3">
      <c r="A6" s="1584" t="str">
        <f>VLOOKUP("Ingresos por Prestación Gratuíta de Outros Servizos pola Entidade Xestora da Iniciativa Comunitaria",tabIdiomas26[],MATCH('Indiv. Invoices Comparison'!$J$2,tabIdiomas26[#Headers]),FALSE)</f>
        <v>Income Deriving from Free-of-Charge Services provided to the Partners by the Energy Initiative Manager-Entity</v>
      </c>
      <c r="B6" s="1803">
        <f>'General Real Data (Obs.)'!E241</f>
        <v>0</v>
      </c>
      <c r="C6" s="1583">
        <f>B6*(1+'Hipóteses xerais (2)'!$C$40)</f>
        <v>0</v>
      </c>
      <c r="D6" s="1583">
        <f>C6*(1+'Hipóteses xerais (2)'!$C$40)</f>
        <v>0</v>
      </c>
      <c r="E6" s="1583">
        <f>D6*(1+'Hipóteses xerais (2)'!$C$40)</f>
        <v>0</v>
      </c>
      <c r="F6" s="1583">
        <f>E6*(1+'Hipóteses xerais (2)'!$C$40)</f>
        <v>0</v>
      </c>
      <c r="G6" s="1583">
        <f>F6*(1+'Hipóteses xerais (2)'!$C$40)</f>
        <v>0</v>
      </c>
      <c r="H6" s="1583">
        <f>G6*(1+'Hipóteses xerais (2)'!$C$40)</f>
        <v>0</v>
      </c>
      <c r="I6" s="1583">
        <f>H6*(1+'Hipóteses xerais (2)'!$C$40)</f>
        <v>0</v>
      </c>
      <c r="J6" s="1583">
        <f>I6*(1+'Hipóteses xerais (2)'!$C$40)</f>
        <v>0</v>
      </c>
      <c r="K6" s="1583">
        <f>J6*(1+'Hipóteses xerais (2)'!$C$40)</f>
        <v>0</v>
      </c>
      <c r="L6" s="1583">
        <f>K6*(1+'Hipóteses xerais (2)'!$C$40)</f>
        <v>0</v>
      </c>
      <c r="M6" s="1583">
        <f>L6*(1+'Hipóteses xerais (2)'!$C$40)</f>
        <v>0</v>
      </c>
      <c r="N6" s="1583">
        <f>M6*(1+'Hipóteses xerais (2)'!$C$40)</f>
        <v>0</v>
      </c>
      <c r="O6" s="1583">
        <f>N6*(1+'Hipóteses xerais (2)'!$C$40)</f>
        <v>0</v>
      </c>
      <c r="P6" s="1583">
        <f>O6*(1+'Hipóteses xerais (2)'!$C$40)</f>
        <v>0</v>
      </c>
      <c r="Q6" s="1583">
        <f>P6*(1+'Hipóteses xerais (2)'!$C$40)</f>
        <v>0</v>
      </c>
      <c r="R6" s="1583">
        <f>Q6*(1+'Hipóteses xerais (2)'!$C$40)</f>
        <v>0</v>
      </c>
      <c r="S6" s="1583">
        <f>R6*(1+'Hipóteses xerais (2)'!$C$40)</f>
        <v>0</v>
      </c>
      <c r="T6" s="1583">
        <f>S6*(1+'Hipóteses xerais (2)'!$C$40)</f>
        <v>0</v>
      </c>
      <c r="U6" s="1583">
        <f>T6*(1+'Hipóteses xerais (2)'!$C$40)</f>
        <v>0</v>
      </c>
      <c r="V6" s="1583">
        <f>U6*(1+'Hipóteses xerais (2)'!$C$40)</f>
        <v>0</v>
      </c>
      <c r="W6" s="1583">
        <f>V6*(1+'Hipóteses xerais (2)'!$C$40)</f>
        <v>0</v>
      </c>
      <c r="X6" s="1583">
        <f>W6*(1+'Hipóteses xerais (2)'!$C$40)</f>
        <v>0</v>
      </c>
      <c r="Y6" s="1583">
        <f>X6*(1+'Hipóteses xerais (2)'!$C$40)</f>
        <v>0</v>
      </c>
      <c r="Z6" s="1582">
        <f>Y6*(1+'Hipóteses xerais (2)'!$C$40)</f>
        <v>0</v>
      </c>
      <c r="AA6" s="1581">
        <f>SUM(B6:Z6)</f>
        <v>0</v>
      </c>
    </row>
    <row r="7" spans="1:29" ht="29.4" thickBot="1" x14ac:dyDescent="0.35">
      <c r="A7" s="1580" t="str">
        <f>VLOOKUP("Outros Ingresos Percibidos da Entidade Xestora da Iniciativa Comunitaria",tabIdiomas26[],MATCH('Indiv. Invoices Comparison'!$J$2,tabIdiomas26[#Headers]),FALSE)</f>
        <v>Other Incomes perceived by the Partners from the Energy Initiative Manager-Entity</v>
      </c>
      <c r="B7" s="1805">
        <f>'General Real Data (Obs.)'!E242</f>
        <v>0</v>
      </c>
      <c r="C7" s="1579">
        <f>B7*(1+'Hipóteses xerais (2)'!$C$40)</f>
        <v>0</v>
      </c>
      <c r="D7" s="1579">
        <f>C7*(1+'Hipóteses xerais (2)'!$C$40)</f>
        <v>0</v>
      </c>
      <c r="E7" s="1579">
        <f>D7*(1+'Hipóteses xerais (2)'!$C$40)</f>
        <v>0</v>
      </c>
      <c r="F7" s="1579">
        <f>E7*(1+'Hipóteses xerais (2)'!$C$40)</f>
        <v>0</v>
      </c>
      <c r="G7" s="1579">
        <f>F7*(1+'Hipóteses xerais (2)'!$C$40)</f>
        <v>0</v>
      </c>
      <c r="H7" s="1579">
        <f>G7*(1+'Hipóteses xerais (2)'!$C$40)</f>
        <v>0</v>
      </c>
      <c r="I7" s="1579">
        <f>H7*(1+'Hipóteses xerais (2)'!$C$40)</f>
        <v>0</v>
      </c>
      <c r="J7" s="1579">
        <f>I7*(1+'Hipóteses xerais (2)'!$C$40)</f>
        <v>0</v>
      </c>
      <c r="K7" s="1579">
        <f>J7*(1+'Hipóteses xerais (2)'!$C$40)</f>
        <v>0</v>
      </c>
      <c r="L7" s="1579">
        <f>K7*(1+'Hipóteses xerais (2)'!$C$40)</f>
        <v>0</v>
      </c>
      <c r="M7" s="1579">
        <f>L7*(1+'Hipóteses xerais (2)'!$C$40)</f>
        <v>0</v>
      </c>
      <c r="N7" s="1579">
        <f>M7*(1+'Hipóteses xerais (2)'!$C$40)</f>
        <v>0</v>
      </c>
      <c r="O7" s="1579">
        <f>N7*(1+'Hipóteses xerais (2)'!$C$40)</f>
        <v>0</v>
      </c>
      <c r="P7" s="1579">
        <f>O7*(1+'Hipóteses xerais (2)'!$C$40)</f>
        <v>0</v>
      </c>
      <c r="Q7" s="1579">
        <f>P7*(1+'Hipóteses xerais (2)'!$C$40)</f>
        <v>0</v>
      </c>
      <c r="R7" s="1579">
        <f>Q7*(1+'Hipóteses xerais (2)'!$C$40)</f>
        <v>0</v>
      </c>
      <c r="S7" s="1579">
        <f>R7*(1+'Hipóteses xerais (2)'!$C$40)</f>
        <v>0</v>
      </c>
      <c r="T7" s="1579">
        <f>S7*(1+'Hipóteses xerais (2)'!$C$40)</f>
        <v>0</v>
      </c>
      <c r="U7" s="1579">
        <f>T7*(1+'Hipóteses xerais (2)'!$C$40)</f>
        <v>0</v>
      </c>
      <c r="V7" s="1579">
        <f>U7*(1+'Hipóteses xerais (2)'!$C$40)</f>
        <v>0</v>
      </c>
      <c r="W7" s="1579">
        <f>V7*(1+'Hipóteses xerais (2)'!$C$40)</f>
        <v>0</v>
      </c>
      <c r="X7" s="1579">
        <f>W7*(1+'Hipóteses xerais (2)'!$C$40)</f>
        <v>0</v>
      </c>
      <c r="Y7" s="1579">
        <f>X7*(1+'Hipóteses xerais (2)'!$C$40)</f>
        <v>0</v>
      </c>
      <c r="Z7" s="1578">
        <f>Y7*(1+'Hipóteses xerais (2)'!$C$40)</f>
        <v>0</v>
      </c>
      <c r="AA7" s="1577">
        <f>SUM(B7:Z7)</f>
        <v>0</v>
      </c>
    </row>
    <row r="8" spans="1:29" s="13" customFormat="1" ht="29.4" thickBot="1" x14ac:dyDescent="0.35">
      <c r="A8" s="1576" t="str">
        <f>VLOOKUP("Total Ingresos Derivados da Pertenza á Iniciativa Enerxética Comunitaria",tabIdiomas26[],MATCH('Indiv. Invoices Comparison'!$J$2,tabIdiomas26[#Headers]),FALSE)</f>
        <v>Total Revenues Derived from the Community Energy Initiative Membership</v>
      </c>
      <c r="B8" s="1806">
        <f>SUM(B3:B7)</f>
        <v>6699</v>
      </c>
      <c r="C8" s="1574" t="e">
        <f t="shared" ref="C8:AA8" si="0">SUM(C3:C7)</f>
        <v>#N/A</v>
      </c>
      <c r="D8" s="1574" t="e">
        <f t="shared" si="0"/>
        <v>#N/A</v>
      </c>
      <c r="E8" s="1574" t="e">
        <f t="shared" si="0"/>
        <v>#N/A</v>
      </c>
      <c r="F8" s="1574" t="e">
        <f t="shared" si="0"/>
        <v>#N/A</v>
      </c>
      <c r="G8" s="1574" t="e">
        <f t="shared" si="0"/>
        <v>#N/A</v>
      </c>
      <c r="H8" s="1574" t="e">
        <f t="shared" si="0"/>
        <v>#N/A</v>
      </c>
      <c r="I8" s="1574" t="e">
        <f t="shared" si="0"/>
        <v>#N/A</v>
      </c>
      <c r="J8" s="1574" t="e">
        <f t="shared" si="0"/>
        <v>#N/A</v>
      </c>
      <c r="K8" s="1574" t="e">
        <f t="shared" si="0"/>
        <v>#N/A</v>
      </c>
      <c r="L8" s="1574" t="e">
        <f t="shared" si="0"/>
        <v>#N/A</v>
      </c>
      <c r="M8" s="1574" t="e">
        <f t="shared" si="0"/>
        <v>#N/A</v>
      </c>
      <c r="N8" s="1574" t="e">
        <f t="shared" si="0"/>
        <v>#N/A</v>
      </c>
      <c r="O8" s="1574" t="e">
        <f t="shared" si="0"/>
        <v>#N/A</v>
      </c>
      <c r="P8" s="1574" t="e">
        <f t="shared" si="0"/>
        <v>#N/A</v>
      </c>
      <c r="Q8" s="1574" t="e">
        <f t="shared" si="0"/>
        <v>#N/A</v>
      </c>
      <c r="R8" s="1574" t="e">
        <f t="shared" si="0"/>
        <v>#N/A</v>
      </c>
      <c r="S8" s="1574" t="e">
        <f t="shared" si="0"/>
        <v>#N/A</v>
      </c>
      <c r="T8" s="1574" t="e">
        <f t="shared" si="0"/>
        <v>#N/A</v>
      </c>
      <c r="U8" s="1574" t="e">
        <f t="shared" si="0"/>
        <v>#N/A</v>
      </c>
      <c r="V8" s="1574" t="e">
        <f t="shared" si="0"/>
        <v>#N/A</v>
      </c>
      <c r="W8" s="1574" t="e">
        <f t="shared" si="0"/>
        <v>#N/A</v>
      </c>
      <c r="X8" s="1574" t="e">
        <f t="shared" si="0"/>
        <v>#N/A</v>
      </c>
      <c r="Y8" s="1574" t="e">
        <f t="shared" si="0"/>
        <v>#N/A</v>
      </c>
      <c r="Z8" s="1573" t="e">
        <f t="shared" si="0"/>
        <v>#N/A</v>
      </c>
      <c r="AA8" s="1572" t="e">
        <f t="shared" si="0"/>
        <v>#N/A</v>
      </c>
      <c r="AB8" s="1114"/>
      <c r="AC8" s="1114"/>
    </row>
    <row r="9" spans="1:29" ht="15" thickTop="1" x14ac:dyDescent="0.3"/>
    <row r="10" spans="1:29" ht="15" thickBot="1" x14ac:dyDescent="0.35">
      <c r="AA10" s="1024"/>
    </row>
    <row r="11" spans="1:29" ht="15.6" thickTop="1" thickBot="1" x14ac:dyDescent="0.35">
      <c r="B11" s="1120">
        <f>$B$1</f>
        <v>1</v>
      </c>
      <c r="C11" s="1121">
        <v>2</v>
      </c>
      <c r="D11" s="1121">
        <v>3</v>
      </c>
      <c r="E11" s="1121">
        <v>4</v>
      </c>
      <c r="F11" s="1121">
        <v>5</v>
      </c>
      <c r="G11" s="1121">
        <v>6</v>
      </c>
      <c r="H11" s="1121">
        <v>7</v>
      </c>
      <c r="I11" s="1121">
        <v>8</v>
      </c>
      <c r="J11" s="1121">
        <v>9</v>
      </c>
      <c r="K11" s="1121">
        <v>10</v>
      </c>
      <c r="L11" s="1121">
        <v>11</v>
      </c>
      <c r="M11" s="1121">
        <v>12</v>
      </c>
      <c r="N11" s="1121">
        <v>13</v>
      </c>
      <c r="O11" s="1121">
        <v>14</v>
      </c>
      <c r="P11" s="1121">
        <v>15</v>
      </c>
      <c r="Q11" s="1121">
        <v>16</v>
      </c>
      <c r="R11" s="1121">
        <v>17</v>
      </c>
      <c r="S11" s="1121">
        <v>18</v>
      </c>
      <c r="T11" s="1121">
        <v>19</v>
      </c>
      <c r="U11" s="1121">
        <v>20</v>
      </c>
      <c r="V11" s="1121">
        <v>21</v>
      </c>
      <c r="W11" s="1121">
        <v>22</v>
      </c>
      <c r="X11" s="1121">
        <v>23</v>
      </c>
      <c r="Y11" s="1121">
        <v>24</v>
      </c>
      <c r="Z11" s="1121">
        <v>25</v>
      </c>
      <c r="AA11" s="1120" t="str">
        <f>VLOOKUP("Total",tabIdiomas26[],MATCH('Indiv. Invoices Comparison'!$J$2,tabIdiomas26[#Headers]),FALSE)</f>
        <v>Total</v>
      </c>
    </row>
    <row r="12" spans="1:29" ht="15" thickBot="1" x14ac:dyDescent="0.35">
      <c r="B12" s="1807">
        <f>$B$2</f>
        <v>2025</v>
      </c>
      <c r="C12" s="1336">
        <v>2026</v>
      </c>
      <c r="D12" s="1336">
        <v>2027</v>
      </c>
      <c r="E12" s="1336">
        <v>2028</v>
      </c>
      <c r="F12" s="1336">
        <v>2029</v>
      </c>
      <c r="G12" s="1336">
        <v>2030</v>
      </c>
      <c r="H12" s="1336">
        <v>2031</v>
      </c>
      <c r="I12" s="1336">
        <v>2032</v>
      </c>
      <c r="J12" s="1336">
        <v>2033</v>
      </c>
      <c r="K12" s="1336">
        <v>2034</v>
      </c>
      <c r="L12" s="1336">
        <v>2035</v>
      </c>
      <c r="M12" s="1336">
        <v>2036</v>
      </c>
      <c r="N12" s="1336">
        <v>2037</v>
      </c>
      <c r="O12" s="1336">
        <v>2038</v>
      </c>
      <c r="P12" s="1336">
        <v>2039</v>
      </c>
      <c r="Q12" s="1336">
        <v>2040</v>
      </c>
      <c r="R12" s="1336">
        <v>2041</v>
      </c>
      <c r="S12" s="1336">
        <v>2042</v>
      </c>
      <c r="T12" s="1336">
        <v>2043</v>
      </c>
      <c r="U12" s="1336">
        <v>2044</v>
      </c>
      <c r="V12" s="1336">
        <v>2045</v>
      </c>
      <c r="W12" s="1336">
        <v>2046</v>
      </c>
      <c r="X12" s="1336">
        <v>2047</v>
      </c>
      <c r="Y12" s="1336">
        <v>2048</v>
      </c>
      <c r="Z12" s="1571">
        <v>2049</v>
      </c>
      <c r="AA12" s="1118" t="str">
        <f>VLOOKUP("Conxunto do Proxecto",tabIdiomas26[],MATCH('Indiv. Invoices Comparison'!$J$2,tabIdiomas26[#Headers]),FALSE)</f>
        <v>Project Lifetime</v>
      </c>
    </row>
    <row r="13" spans="1:29" s="13" customFormat="1" ht="15" thickTop="1" x14ac:dyDescent="0.3">
      <c r="A13" s="1570" t="str">
        <f>VLOOKUP("Cota Extraordinaria Inicial (Só Primeiro Ano)",tabIdiomas26[],MATCH('Indiv. Invoices Comparison'!$J$2,tabIdiomas26[#Headers]),FALSE)</f>
        <v>Extraordinary Initial Membership Fee (Only for the First Year)</v>
      </c>
      <c r="B13" s="1808">
        <f>'General Real Data (Obs.)'!E10</f>
        <v>0</v>
      </c>
      <c r="C13" s="1569">
        <f>'Conta explotación'!G10</f>
        <v>0</v>
      </c>
      <c r="D13" s="1569">
        <f>'Conta explotación'!H10</f>
        <v>0</v>
      </c>
      <c r="E13" s="1569">
        <f>'Conta explotación'!I10</f>
        <v>0</v>
      </c>
      <c r="F13" s="1569">
        <f>'Conta explotación'!J10</f>
        <v>0</v>
      </c>
      <c r="G13" s="1569">
        <f>'Conta explotación'!K10</f>
        <v>0</v>
      </c>
      <c r="H13" s="1569">
        <f>'Conta explotación'!L10</f>
        <v>0</v>
      </c>
      <c r="I13" s="1569">
        <f>'Conta explotación'!M10</f>
        <v>0</v>
      </c>
      <c r="J13" s="1569">
        <f>'Conta explotación'!N10</f>
        <v>0</v>
      </c>
      <c r="K13" s="1569">
        <f>'Conta explotación'!O10</f>
        <v>0</v>
      </c>
      <c r="L13" s="1569">
        <f>'Conta explotación'!P10</f>
        <v>0</v>
      </c>
      <c r="M13" s="1569">
        <f>'Conta explotación'!Q10</f>
        <v>0</v>
      </c>
      <c r="N13" s="1569">
        <f>'Conta explotación'!R10</f>
        <v>0</v>
      </c>
      <c r="O13" s="1569">
        <f>'Conta explotación'!S10</f>
        <v>0</v>
      </c>
      <c r="P13" s="1569">
        <f>'Conta explotación'!T10</f>
        <v>0</v>
      </c>
      <c r="Q13" s="1569">
        <f>'Conta explotación'!U10</f>
        <v>0</v>
      </c>
      <c r="R13" s="1569">
        <f>'Conta explotación'!V10</f>
        <v>0</v>
      </c>
      <c r="S13" s="1569">
        <f>'Conta explotación'!W10</f>
        <v>0</v>
      </c>
      <c r="T13" s="1569">
        <f>'Conta explotación'!X10</f>
        <v>0</v>
      </c>
      <c r="U13" s="1569">
        <f>'Conta explotación'!Y10</f>
        <v>0</v>
      </c>
      <c r="V13" s="1569">
        <f>'Conta explotación'!Z10</f>
        <v>0</v>
      </c>
      <c r="W13" s="1569">
        <f>'Conta explotación'!AA10</f>
        <v>0</v>
      </c>
      <c r="X13" s="1569">
        <f>'Conta explotación'!AB10</f>
        <v>0</v>
      </c>
      <c r="Y13" s="1569">
        <f>'Conta explotación'!AC10</f>
        <v>0</v>
      </c>
      <c r="Z13" s="1568">
        <f>'Conta explotación'!AD10</f>
        <v>0</v>
      </c>
      <c r="AA13" s="1567">
        <f>SUM(B13:Z13)</f>
        <v>0</v>
      </c>
      <c r="AB13" s="1114"/>
      <c r="AC13" s="1114"/>
    </row>
    <row r="14" spans="1:29" ht="15" thickBot="1" x14ac:dyDescent="0.35">
      <c r="A14" s="1566" t="str">
        <f>VLOOKUP("Cotas de Socios",tabIdiomas26[],MATCH('Indiv. Invoices Comparison'!$J$2,tabIdiomas26[#Headers]),FALSE)</f>
        <v>Membership Fees</v>
      </c>
      <c r="B14" s="1809">
        <f>'General Real Data (Obs.)'!E11</f>
        <v>2470.4699999999998</v>
      </c>
      <c r="C14" s="1565" t="e">
        <f>'Conta explotación'!G11</f>
        <v>#N/A</v>
      </c>
      <c r="D14" s="1565" t="e">
        <f>'Conta explotación'!H11</f>
        <v>#N/A</v>
      </c>
      <c r="E14" s="1565" t="e">
        <f>'Conta explotación'!I11</f>
        <v>#N/A</v>
      </c>
      <c r="F14" s="1565" t="e">
        <f>'Conta explotación'!J11</f>
        <v>#N/A</v>
      </c>
      <c r="G14" s="1565" t="e">
        <f>'Conta explotación'!K11</f>
        <v>#N/A</v>
      </c>
      <c r="H14" s="1565" t="e">
        <f>'Conta explotación'!L11</f>
        <v>#N/A</v>
      </c>
      <c r="I14" s="1565" t="e">
        <f>'Conta explotación'!M11</f>
        <v>#N/A</v>
      </c>
      <c r="J14" s="1565" t="e">
        <f>'Conta explotación'!N11</f>
        <v>#N/A</v>
      </c>
      <c r="K14" s="1565" t="e">
        <f>'Conta explotación'!O11</f>
        <v>#N/A</v>
      </c>
      <c r="L14" s="1565" t="e">
        <f>'Conta explotación'!P11</f>
        <v>#N/A</v>
      </c>
      <c r="M14" s="1565" t="e">
        <f>'Conta explotación'!Q11</f>
        <v>#N/A</v>
      </c>
      <c r="N14" s="1565" t="e">
        <f>'Conta explotación'!R11</f>
        <v>#N/A</v>
      </c>
      <c r="O14" s="1565" t="e">
        <f>'Conta explotación'!S11</f>
        <v>#N/A</v>
      </c>
      <c r="P14" s="1565" t="e">
        <f>'Conta explotación'!T11</f>
        <v>#N/A</v>
      </c>
      <c r="Q14" s="1565" t="e">
        <f>'Conta explotación'!U11</f>
        <v>#N/A</v>
      </c>
      <c r="R14" s="1565" t="e">
        <f>'Conta explotación'!V11</f>
        <v>#N/A</v>
      </c>
      <c r="S14" s="1565" t="e">
        <f>'Conta explotación'!W11</f>
        <v>#N/A</v>
      </c>
      <c r="T14" s="1565" t="e">
        <f>'Conta explotación'!X11</f>
        <v>#N/A</v>
      </c>
      <c r="U14" s="1565" t="e">
        <f>'Conta explotación'!Y11</f>
        <v>#N/A</v>
      </c>
      <c r="V14" s="1565" t="e">
        <f>'Conta explotación'!Z11</f>
        <v>#N/A</v>
      </c>
      <c r="W14" s="1565" t="e">
        <f>'Conta explotación'!AA11</f>
        <v>#N/A</v>
      </c>
      <c r="X14" s="1565" t="e">
        <f>'Conta explotación'!AB11</f>
        <v>#N/A</v>
      </c>
      <c r="Y14" s="1565" t="e">
        <f>'Conta explotación'!AC11</f>
        <v>#N/A</v>
      </c>
      <c r="Z14" s="1564" t="e">
        <f>'Conta explotación'!AD11</f>
        <v>#N/A</v>
      </c>
      <c r="AA14" s="1563" t="e">
        <f>SUM(B14:Z14)</f>
        <v>#N/A</v>
      </c>
    </row>
    <row r="15" spans="1:29" ht="15" thickBot="1" x14ac:dyDescent="0.35">
      <c r="A15" s="1562" t="str">
        <f>VLOOKUP("Cargos por Prestación de Servizos Complementarios aos Socios",tabIdiomas26[],MATCH('Indiv. Invoices Comparison'!$J$2,tabIdiomas26[#Headers]),FALSE)</f>
        <v>Charges for Complementary Services Provision to Partners</v>
      </c>
      <c r="B15" s="1810">
        <f>'General Real Data (Obs.)'!E12</f>
        <v>0</v>
      </c>
      <c r="C15" s="1561" t="e">
        <f>'Conta explotación'!G12</f>
        <v>#N/A</v>
      </c>
      <c r="D15" s="1561" t="e">
        <f>'Conta explotación'!H12</f>
        <v>#N/A</v>
      </c>
      <c r="E15" s="1561" t="e">
        <f>'Conta explotación'!I12</f>
        <v>#N/A</v>
      </c>
      <c r="F15" s="1561" t="e">
        <f>'Conta explotación'!J12</f>
        <v>#N/A</v>
      </c>
      <c r="G15" s="1561" t="e">
        <f>'Conta explotación'!K12</f>
        <v>#N/A</v>
      </c>
      <c r="H15" s="1561" t="e">
        <f>'Conta explotación'!L12</f>
        <v>#N/A</v>
      </c>
      <c r="I15" s="1561" t="e">
        <f>'Conta explotación'!M12</f>
        <v>#N/A</v>
      </c>
      <c r="J15" s="1561" t="e">
        <f>'Conta explotación'!N12</f>
        <v>#N/A</v>
      </c>
      <c r="K15" s="1561" t="e">
        <f>'Conta explotación'!O12</f>
        <v>#N/A</v>
      </c>
      <c r="L15" s="1561" t="e">
        <f>'Conta explotación'!P12</f>
        <v>#N/A</v>
      </c>
      <c r="M15" s="1561" t="e">
        <f>'Conta explotación'!Q12</f>
        <v>#N/A</v>
      </c>
      <c r="N15" s="1561" t="e">
        <f>'Conta explotación'!R12</f>
        <v>#N/A</v>
      </c>
      <c r="O15" s="1561" t="e">
        <f>'Conta explotación'!S12</f>
        <v>#N/A</v>
      </c>
      <c r="P15" s="1561" t="e">
        <f>'Conta explotación'!T12</f>
        <v>#N/A</v>
      </c>
      <c r="Q15" s="1561" t="e">
        <f>'Conta explotación'!U12</f>
        <v>#N/A</v>
      </c>
      <c r="R15" s="1561" t="e">
        <f>'Conta explotación'!V12</f>
        <v>#N/A</v>
      </c>
      <c r="S15" s="1561" t="e">
        <f>'Conta explotación'!W12</f>
        <v>#N/A</v>
      </c>
      <c r="T15" s="1561" t="e">
        <f>'Conta explotación'!X12</f>
        <v>#N/A</v>
      </c>
      <c r="U15" s="1561" t="e">
        <f>'Conta explotación'!Y12</f>
        <v>#N/A</v>
      </c>
      <c r="V15" s="1561" t="e">
        <f>'Conta explotación'!Z12</f>
        <v>#N/A</v>
      </c>
      <c r="W15" s="1561" t="e">
        <f>'Conta explotación'!AA12</f>
        <v>#N/A</v>
      </c>
      <c r="X15" s="1561" t="e">
        <f>'Conta explotación'!AB12</f>
        <v>#N/A</v>
      </c>
      <c r="Y15" s="1561" t="e">
        <f>'Conta explotación'!AC12</f>
        <v>#N/A</v>
      </c>
      <c r="Z15" s="1560" t="e">
        <f>'Conta explotación'!AD12</f>
        <v>#N/A</v>
      </c>
      <c r="AA15" s="1559" t="e">
        <f>SUM(B15:Z15)</f>
        <v>#N/A</v>
      </c>
    </row>
    <row r="16" spans="1:29" s="13" customFormat="1" ht="29.4" thickBot="1" x14ac:dyDescent="0.35">
      <c r="A16" s="1558" t="str">
        <f>VLOOKUP("Total Gastos Derivados da Pertenza á Iniciativa Enerxética Comunitaria",tabIdiomas26[],MATCH('Indiv. Invoices Comparison'!$J$2,tabIdiomas26[#Headers]),FALSE)</f>
        <v>Total Expenses Deriving From Community Energy Initiative Membership</v>
      </c>
      <c r="B16" s="1811">
        <f>SUM(B13:B15)</f>
        <v>2470.4699999999998</v>
      </c>
      <c r="C16" s="1518" t="e">
        <f t="shared" ref="C16:Z16" si="1">SUM(C13:C15)</f>
        <v>#N/A</v>
      </c>
      <c r="D16" s="1518" t="e">
        <f t="shared" si="1"/>
        <v>#N/A</v>
      </c>
      <c r="E16" s="1518" t="e">
        <f t="shared" si="1"/>
        <v>#N/A</v>
      </c>
      <c r="F16" s="1518" t="e">
        <f t="shared" si="1"/>
        <v>#N/A</v>
      </c>
      <c r="G16" s="1518" t="e">
        <f t="shared" si="1"/>
        <v>#N/A</v>
      </c>
      <c r="H16" s="1518" t="e">
        <f t="shared" si="1"/>
        <v>#N/A</v>
      </c>
      <c r="I16" s="1518" t="e">
        <f t="shared" si="1"/>
        <v>#N/A</v>
      </c>
      <c r="J16" s="1518" t="e">
        <f t="shared" si="1"/>
        <v>#N/A</v>
      </c>
      <c r="K16" s="1518" t="e">
        <f t="shared" si="1"/>
        <v>#N/A</v>
      </c>
      <c r="L16" s="1518" t="e">
        <f t="shared" si="1"/>
        <v>#N/A</v>
      </c>
      <c r="M16" s="1518" t="e">
        <f t="shared" si="1"/>
        <v>#N/A</v>
      </c>
      <c r="N16" s="1518" t="e">
        <f t="shared" si="1"/>
        <v>#N/A</v>
      </c>
      <c r="O16" s="1518" t="e">
        <f t="shared" si="1"/>
        <v>#N/A</v>
      </c>
      <c r="P16" s="1518" t="e">
        <f t="shared" si="1"/>
        <v>#N/A</v>
      </c>
      <c r="Q16" s="1518" t="e">
        <f t="shared" si="1"/>
        <v>#N/A</v>
      </c>
      <c r="R16" s="1518" t="e">
        <f t="shared" si="1"/>
        <v>#N/A</v>
      </c>
      <c r="S16" s="1518" t="e">
        <f t="shared" si="1"/>
        <v>#N/A</v>
      </c>
      <c r="T16" s="1518" t="e">
        <f t="shared" si="1"/>
        <v>#N/A</v>
      </c>
      <c r="U16" s="1518" t="e">
        <f t="shared" si="1"/>
        <v>#N/A</v>
      </c>
      <c r="V16" s="1518" t="e">
        <f t="shared" si="1"/>
        <v>#N/A</v>
      </c>
      <c r="W16" s="1518" t="e">
        <f t="shared" si="1"/>
        <v>#N/A</v>
      </c>
      <c r="X16" s="1518" t="e">
        <f t="shared" si="1"/>
        <v>#N/A</v>
      </c>
      <c r="Y16" s="1518" t="e">
        <f t="shared" si="1"/>
        <v>#N/A</v>
      </c>
      <c r="Z16" s="1517" t="e">
        <f t="shared" si="1"/>
        <v>#N/A</v>
      </c>
      <c r="AA16" s="1516" t="e">
        <f>SUM(B16:Z16)</f>
        <v>#N/A</v>
      </c>
    </row>
    <row r="17" spans="1:31" ht="15.6" thickTop="1" thickBot="1" x14ac:dyDescent="0.35">
      <c r="AA17" s="633"/>
    </row>
    <row r="18" spans="1:31" s="641" customFormat="1" ht="30" thickTop="1" thickBot="1" x14ac:dyDescent="0.35">
      <c r="A18" s="1812" t="str">
        <f>VLOOKUP("Resultado Anual da Participación Colectiva dos Socios na Iniciativa Enerxética Comunitaria",tabIdiomas26[],MATCH('Indiv. Invoices Comparison'!$J$2,tabIdiomas26[#Headers]),FALSE)</f>
        <v>Annual Result of the Collective Membership of Partners in the Community Energy Initiative</v>
      </c>
      <c r="B18" s="1813">
        <f>B8-B16</f>
        <v>4228.5300000000007</v>
      </c>
      <c r="C18" s="1557" t="e">
        <f t="shared" ref="C18:Z18" si="2">C8-C16</f>
        <v>#N/A</v>
      </c>
      <c r="D18" s="1557" t="e">
        <f t="shared" si="2"/>
        <v>#N/A</v>
      </c>
      <c r="E18" s="1557" t="e">
        <f t="shared" si="2"/>
        <v>#N/A</v>
      </c>
      <c r="F18" s="1557" t="e">
        <f t="shared" si="2"/>
        <v>#N/A</v>
      </c>
      <c r="G18" s="1557" t="e">
        <f t="shared" si="2"/>
        <v>#N/A</v>
      </c>
      <c r="H18" s="1557" t="e">
        <f t="shared" si="2"/>
        <v>#N/A</v>
      </c>
      <c r="I18" s="1557" t="e">
        <f t="shared" si="2"/>
        <v>#N/A</v>
      </c>
      <c r="J18" s="1557" t="e">
        <f t="shared" si="2"/>
        <v>#N/A</v>
      </c>
      <c r="K18" s="1557" t="e">
        <f t="shared" si="2"/>
        <v>#N/A</v>
      </c>
      <c r="L18" s="1557" t="e">
        <f t="shared" si="2"/>
        <v>#N/A</v>
      </c>
      <c r="M18" s="1557" t="e">
        <f t="shared" si="2"/>
        <v>#N/A</v>
      </c>
      <c r="N18" s="1557" t="e">
        <f t="shared" si="2"/>
        <v>#N/A</v>
      </c>
      <c r="O18" s="1557" t="e">
        <f t="shared" si="2"/>
        <v>#N/A</v>
      </c>
      <c r="P18" s="1557" t="e">
        <f t="shared" si="2"/>
        <v>#N/A</v>
      </c>
      <c r="Q18" s="1557" t="e">
        <f t="shared" si="2"/>
        <v>#N/A</v>
      </c>
      <c r="R18" s="1557" t="e">
        <f t="shared" si="2"/>
        <v>#N/A</v>
      </c>
      <c r="S18" s="1557" t="e">
        <f t="shared" si="2"/>
        <v>#N/A</v>
      </c>
      <c r="T18" s="1557" t="e">
        <f t="shared" si="2"/>
        <v>#N/A</v>
      </c>
      <c r="U18" s="1557" t="e">
        <f t="shared" si="2"/>
        <v>#N/A</v>
      </c>
      <c r="V18" s="1557" t="e">
        <f t="shared" si="2"/>
        <v>#N/A</v>
      </c>
      <c r="W18" s="1557" t="e">
        <f t="shared" si="2"/>
        <v>#N/A</v>
      </c>
      <c r="X18" s="1557" t="e">
        <f t="shared" si="2"/>
        <v>#N/A</v>
      </c>
      <c r="Y18" s="1557" t="e">
        <f t="shared" si="2"/>
        <v>#N/A</v>
      </c>
      <c r="Z18" s="1556" t="e">
        <f t="shared" si="2"/>
        <v>#N/A</v>
      </c>
      <c r="AA18" s="1555" t="e">
        <f>SUM(B18:Z18)</f>
        <v>#N/A</v>
      </c>
    </row>
    <row r="19" spans="1:31" s="641" customFormat="1" ht="16.8" thickBot="1" x14ac:dyDescent="0.35">
      <c r="A19" s="1554" t="str">
        <f>VLOOKUP("Valor Actual do Resultado Anual da Participación do Socio",tabIdiomas26[],MATCH('Indiv. Invoices Comparison'!$J$2,tabIdiomas26[#Headers]),FALSE)</f>
        <v>Present Value of the Annual Result of the Partner Membership</v>
      </c>
      <c r="B19" s="1552">
        <f>B18/((1+'Cash Flow Statement'!$AE$8)^(B11))</f>
        <v>4095.2302551934536</v>
      </c>
      <c r="C19" s="1553" t="e">
        <f>C18/((1+'Hipóteses xerais (2)'!$C$33)^(C11))</f>
        <v>#N/A</v>
      </c>
      <c r="D19" s="1553" t="e">
        <f>D18/((1+'Hipóteses xerais (2)'!$C$33)^(D11))</f>
        <v>#N/A</v>
      </c>
      <c r="E19" s="1553" t="e">
        <f>E18/((1+'Hipóteses xerais (2)'!$C$33)^(E11))</f>
        <v>#N/A</v>
      </c>
      <c r="F19" s="1553" t="e">
        <f>F18/((1+'Hipóteses xerais (2)'!$C$33)^(F11))</f>
        <v>#N/A</v>
      </c>
      <c r="G19" s="1553" t="e">
        <f>G18/((1+'Hipóteses xerais (2)'!$C$33)^(G11))</f>
        <v>#N/A</v>
      </c>
      <c r="H19" s="1553" t="e">
        <f>H18/((1+'Hipóteses xerais (2)'!$C$33)^(H11))</f>
        <v>#N/A</v>
      </c>
      <c r="I19" s="1553" t="e">
        <f>I18/((1+'Hipóteses xerais (2)'!$C$33)^(I11))</f>
        <v>#N/A</v>
      </c>
      <c r="J19" s="1553" t="e">
        <f>J18/((1+'Hipóteses xerais (2)'!$C$33)^(J11))</f>
        <v>#N/A</v>
      </c>
      <c r="K19" s="1553" t="e">
        <f>K18/((1+'Hipóteses xerais (2)'!$C$33)^(K11))</f>
        <v>#N/A</v>
      </c>
      <c r="L19" s="1553" t="e">
        <f>L18/((1+'Hipóteses xerais (2)'!$C$33)^(L11))</f>
        <v>#N/A</v>
      </c>
      <c r="M19" s="1553" t="e">
        <f>M18/((1+'Hipóteses xerais (2)'!$C$33)^(M11))</f>
        <v>#N/A</v>
      </c>
      <c r="N19" s="1553" t="e">
        <f>N18/((1+'Hipóteses xerais (2)'!$C$33)^(N11))</f>
        <v>#N/A</v>
      </c>
      <c r="O19" s="1553" t="e">
        <f>O18/((1+'Hipóteses xerais (2)'!$C$33)^(O11))</f>
        <v>#N/A</v>
      </c>
      <c r="P19" s="1553" t="e">
        <f>P18/((1+'Hipóteses xerais (2)'!$C$33)^(P11))</f>
        <v>#N/A</v>
      </c>
      <c r="Q19" s="1553" t="e">
        <f>Q18/((1+'Hipóteses xerais (2)'!$C$33)^(Q11))</f>
        <v>#N/A</v>
      </c>
      <c r="R19" s="1553" t="e">
        <f>R18/((1+'Hipóteses xerais (2)'!$C$33)^(R11))</f>
        <v>#N/A</v>
      </c>
      <c r="S19" s="1553" t="e">
        <f>S18/((1+'Hipóteses xerais (2)'!$C$33)^(S11))</f>
        <v>#N/A</v>
      </c>
      <c r="T19" s="1553" t="e">
        <f>T18/((1+'Hipóteses xerais (2)'!$C$33)^(T11))</f>
        <v>#N/A</v>
      </c>
      <c r="U19" s="1553" t="e">
        <f>U18/((1+'Hipóteses xerais (2)'!$C$33)^(U11))</f>
        <v>#N/A</v>
      </c>
      <c r="V19" s="1553" t="e">
        <f>V18/((1+'Hipóteses xerais (2)'!$C$33)^(V11))</f>
        <v>#N/A</v>
      </c>
      <c r="W19" s="1553" t="e">
        <f>W18/((1+'Hipóteses xerais (2)'!$C$33)^(W11))</f>
        <v>#N/A</v>
      </c>
      <c r="X19" s="1553" t="e">
        <f>X18/((1+'Hipóteses xerais (2)'!$C$33)^(X11))</f>
        <v>#N/A</v>
      </c>
      <c r="Y19" s="1553" t="e">
        <f>Y18/((1+'Hipóteses xerais (2)'!$C$33)^(Y11))</f>
        <v>#N/A</v>
      </c>
      <c r="Z19" s="1552" t="e">
        <f>Z18/((1+'Hipóteses xerais (2)'!$C$33)^(Z11))</f>
        <v>#N/A</v>
      </c>
      <c r="AA19" s="1551" t="e">
        <f>SUM(B19:Z19)</f>
        <v>#N/A</v>
      </c>
    </row>
    <row r="20" spans="1:31" ht="15" thickTop="1" x14ac:dyDescent="0.3"/>
    <row r="22" spans="1:31" x14ac:dyDescent="0.3">
      <c r="A22" s="1084" t="str">
        <f>VLOOKUP("Importante:",tabIdiomas26[],MATCH('Indiv. Invoices Comparison'!$J$2,tabIdiomas26[#Headers]),FALSE)</f>
        <v>Important Notice:</v>
      </c>
      <c r="B22" s="1083"/>
      <c r="C22" s="1083"/>
      <c r="D22" s="1083"/>
      <c r="E22" s="1083"/>
      <c r="F22" s="1083"/>
      <c r="G22" s="1083"/>
      <c r="H22" s="1082"/>
      <c r="I22" s="1083"/>
      <c r="J22" s="1083"/>
      <c r="K22" s="1083"/>
      <c r="L22" s="1083"/>
      <c r="M22" s="1083"/>
      <c r="N22" s="1083"/>
      <c r="O22" s="1083"/>
      <c r="P22" s="1083"/>
      <c r="Q22" s="1083"/>
      <c r="R22" s="1083"/>
      <c r="S22" s="1083"/>
      <c r="T22" s="1083"/>
      <c r="U22" s="1083"/>
      <c r="V22" s="1083"/>
      <c r="W22" s="1550" t="str">
        <f>VLOOKUP("Comprobación da Coherencia entre os Resultados Individual e Colectivo",tabIdiomas26[],MATCH('Indiv. Invoices Comparison'!$J$2,tabIdiomas26[#Headers]),FALSE)</f>
        <v>Verification of Coherence between Individual and Collective Results</v>
      </c>
      <c r="X22" s="1098"/>
      <c r="Y22" s="1098"/>
      <c r="Z22" s="1098"/>
      <c r="AA22" s="1099" t="e">
        <f>('Conta Individ. Socio'!$AA$18*'Datos CE e Socios'!$B$2)-'All Partners Accounts'!$AA$18</f>
        <v>#N/A</v>
      </c>
      <c r="AB22" s="1083"/>
      <c r="AC22" s="1083"/>
      <c r="AD22" s="1083"/>
      <c r="AE22" s="1082"/>
    </row>
    <row r="23" spans="1:31" x14ac:dyDescent="0.3">
      <c r="A23" s="895"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c r="B23" s="1083"/>
      <c r="C23" s="1083"/>
      <c r="D23" s="1083"/>
      <c r="E23" s="1083"/>
      <c r="F23" s="1083"/>
      <c r="G23" s="1083"/>
      <c r="H23" s="1082"/>
      <c r="I23" s="1083"/>
      <c r="J23" s="1083"/>
      <c r="K23" s="1083"/>
      <c r="L23" s="1083"/>
      <c r="M23" s="1083"/>
      <c r="N23" s="1083"/>
      <c r="O23" s="1083"/>
      <c r="P23" s="1083"/>
      <c r="Q23" s="1083"/>
      <c r="R23" s="1083"/>
      <c r="S23" s="1083"/>
      <c r="T23" s="1083"/>
      <c r="U23" s="1083"/>
      <c r="V23" s="1083"/>
      <c r="W23" s="1098" t="str">
        <f>VLOOKUP("(Cela en Cor debe conter valor 0,00€; Cor Verde)",tabIdiomas26[],MATCH('Indiv. Invoices Comparison'!$J$2,tabIdiomas26[#Headers]),FALSE)</f>
        <v>(Colour Cell must show 0.00€ value; Green Colour)</v>
      </c>
      <c r="X23" s="1098"/>
      <c r="Y23" s="1098"/>
      <c r="Z23" s="1098"/>
      <c r="AA23" s="1097" t="e">
        <f>IF(AA22&lt;0.01, "O.K.", "INCOHERENTE")</f>
        <v>#N/A</v>
      </c>
      <c r="AB23" s="1083"/>
      <c r="AC23" s="1083"/>
      <c r="AD23" s="1083"/>
      <c r="AE23" s="1082"/>
    </row>
    <row r="26" spans="1:31" ht="15.6" hidden="1" thickTop="1" thickBot="1" x14ac:dyDescent="0.35">
      <c r="A26" s="1096" t="str">
        <f>VLOOKUP("Aportación de Capital Propio dos Socios",tabIdiomas26[],MATCH('Indiv. Invoices Comparison'!$J$2,tabIdiomas26[#Headers]),FALSE)</f>
        <v>Shareholders' Equity Contribution</v>
      </c>
      <c r="B26" s="1095" t="e">
        <f>'Hipóteses xerais (2)'!$F$35</f>
        <v>#N/A</v>
      </c>
    </row>
    <row r="27" spans="1:31" hidden="1" x14ac:dyDescent="0.3">
      <c r="A27" s="1094" t="str">
        <f>VLOOKUP("Valor Actual Neto dos Fluxos Positivos de Valor Económico",tabIdiomas26[],MATCH('Indiv. Invoices Comparison'!$J$2,tabIdiomas26[#Headers]),FALSE)</f>
        <v>Net Present Value of the Positive Flows of Economic Value</v>
      </c>
      <c r="B27" s="1093" t="e">
        <f>NPV('Hipóteses xerais (2)'!$C$33,B18:Z18)</f>
        <v>#N/A</v>
      </c>
    </row>
    <row r="28" spans="1:31" ht="15" hidden="1" thickBot="1" x14ac:dyDescent="0.35">
      <c r="A28" s="1092" t="str">
        <f>VLOOKUP("Valor Actual Neto dos Fluxos de Valor Económico Esperados",tabIdiomas26[],MATCH('Indiv. Invoices Comparison'!$J$2,tabIdiomas26[#Headers]),FALSE)</f>
        <v>Net Present Value of the Expected Flows of Economic Value</v>
      </c>
      <c r="B28" s="1091" t="e">
        <f>NPV('Hipóteses xerais (2)'!$C$33,-B26,B18:Z18)</f>
        <v>#N/A</v>
      </c>
    </row>
    <row r="29" spans="1:31" hidden="1" x14ac:dyDescent="0.3">
      <c r="A29" s="1090" t="str">
        <f>VLOOKUP("TIR Conxunto dos Socios (%)",tabIdiomas26[],MATCH('Indiv. Invoices Comparison'!$J$2,tabIdiomas26[#Headers]),FALSE)</f>
        <v>IRR Complete Set of Partners (%)</v>
      </c>
      <c r="B29" s="1089" t="e">
        <f>IRR(B32:AA32)</f>
        <v>#VALUE!</v>
      </c>
    </row>
    <row r="30" spans="1:31" ht="15" hidden="1" thickBot="1" x14ac:dyDescent="0.35">
      <c r="A30" s="1088" t="str">
        <f>VLOOKUP("TIR Modificada Conxunto dos Socios (%)",tabIdiomas26[],MATCH('Indiv. Invoices Comparison'!$J$2,tabIdiomas26[#Headers]),FALSE)</f>
        <v>Modified IRR Complete Set of Partners (%)</v>
      </c>
      <c r="B30" s="1087" t="e">
        <f>MIRR(B32:AA32,'Hipóteses xerais (2)'!$C$33,'Hipóteses xerais (2)'!$C$33)</f>
        <v>#N/A</v>
      </c>
    </row>
    <row r="31" spans="1:31" ht="15.6" hidden="1" thickTop="1" thickBot="1" x14ac:dyDescent="0.35"/>
    <row r="32" spans="1:31" ht="15" hidden="1" thickBot="1" x14ac:dyDescent="0.35">
      <c r="B32" s="145" t="e">
        <f>-B26</f>
        <v>#N/A</v>
      </c>
      <c r="C32" s="145">
        <f t="shared" ref="C32:AA32" si="3">B18</f>
        <v>4228.5300000000007</v>
      </c>
      <c r="D32" s="145" t="e">
        <f t="shared" si="3"/>
        <v>#N/A</v>
      </c>
      <c r="E32" s="145" t="e">
        <f t="shared" si="3"/>
        <v>#N/A</v>
      </c>
      <c r="F32" s="145" t="e">
        <f t="shared" si="3"/>
        <v>#N/A</v>
      </c>
      <c r="G32" s="145" t="e">
        <f t="shared" si="3"/>
        <v>#N/A</v>
      </c>
      <c r="H32" s="145" t="e">
        <f t="shared" si="3"/>
        <v>#N/A</v>
      </c>
      <c r="I32" s="145" t="e">
        <f t="shared" si="3"/>
        <v>#N/A</v>
      </c>
      <c r="J32" s="145" t="e">
        <f t="shared" si="3"/>
        <v>#N/A</v>
      </c>
      <c r="K32" s="145" t="e">
        <f t="shared" si="3"/>
        <v>#N/A</v>
      </c>
      <c r="L32" s="145" t="e">
        <f t="shared" si="3"/>
        <v>#N/A</v>
      </c>
      <c r="M32" s="145" t="e">
        <f t="shared" si="3"/>
        <v>#N/A</v>
      </c>
      <c r="N32" s="145" t="e">
        <f t="shared" si="3"/>
        <v>#N/A</v>
      </c>
      <c r="O32" s="145" t="e">
        <f t="shared" si="3"/>
        <v>#N/A</v>
      </c>
      <c r="P32" s="145" t="e">
        <f t="shared" si="3"/>
        <v>#N/A</v>
      </c>
      <c r="Q32" s="145" t="e">
        <f t="shared" si="3"/>
        <v>#N/A</v>
      </c>
      <c r="R32" s="145" t="e">
        <f t="shared" si="3"/>
        <v>#N/A</v>
      </c>
      <c r="S32" s="145" t="e">
        <f t="shared" si="3"/>
        <v>#N/A</v>
      </c>
      <c r="T32" s="145" t="e">
        <f t="shared" si="3"/>
        <v>#N/A</v>
      </c>
      <c r="U32" s="145" t="e">
        <f t="shared" si="3"/>
        <v>#N/A</v>
      </c>
      <c r="V32" s="145" t="e">
        <f t="shared" si="3"/>
        <v>#N/A</v>
      </c>
      <c r="W32" s="145" t="e">
        <f t="shared" si="3"/>
        <v>#N/A</v>
      </c>
      <c r="X32" s="145" t="e">
        <f t="shared" si="3"/>
        <v>#N/A</v>
      </c>
      <c r="Y32" s="145" t="e">
        <f t="shared" si="3"/>
        <v>#N/A</v>
      </c>
      <c r="Z32" s="145" t="e">
        <f t="shared" si="3"/>
        <v>#N/A</v>
      </c>
      <c r="AA32" s="145" t="e">
        <f t="shared" si="3"/>
        <v>#N/A</v>
      </c>
    </row>
    <row r="33" spans="1:2" ht="15.6" hidden="1" thickTop="1" thickBot="1" x14ac:dyDescent="0.35">
      <c r="A33" s="965" t="str">
        <f>VLOOKUP("Período de Recuperación do Investimento (Anos)",tabIdiomas26[],MATCH('Indiv. Invoices Comparison'!$J$2,tabIdiomas26[#Headers]),FALSE)</f>
        <v>Payback Period (Years)</v>
      </c>
      <c r="B33" s="1086" t="e">
        <f>B26/AVERAGE(B19:Z19)</f>
        <v>#N/A</v>
      </c>
    </row>
  </sheetData>
  <sheetProtection algorithmName="SHA-512" hashValue="J90r6M++WYmjXjJ0ublhMHpMXyL9CZNU2X57JL2b8UjGXHgZProfSpmJ85T+FEAgfSiq5aYm6+eHpPC7usSX0w==" saltValue="XrLzd4FE5gigjyGb8VpOHw==" spinCount="100000" sheet="1" objects="1" scenarios="1"/>
  <conditionalFormatting sqref="AA22">
    <cfRule type="expression" dxfId="0" priority="1">
      <formula>$AA$22&lt;0.01</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03E4-43AB-49AC-B95D-BCA2D54F207E}">
  <sheetPr>
    <tabColor rgb="FFA365D1"/>
  </sheetPr>
  <dimension ref="A1:AN35"/>
  <sheetViews>
    <sheetView topLeftCell="A5" zoomScaleNormal="100" workbookViewId="0">
      <selection activeCell="A13" sqref="A13"/>
    </sheetView>
  </sheetViews>
  <sheetFormatPr baseColWidth="10" defaultColWidth="11.5546875" defaultRowHeight="14.4" x14ac:dyDescent="0.3"/>
  <cols>
    <col min="1" max="1" width="52.44140625" customWidth="1"/>
    <col min="2" max="2" width="11.5546875" bestFit="1" customWidth="1"/>
    <col min="3" max="16" width="0" hidden="1" customWidth="1"/>
    <col min="17" max="26" width="11.5546875" hidden="1" customWidth="1"/>
    <col min="27" max="27" width="19.88671875" hidden="1" customWidth="1"/>
  </cols>
  <sheetData>
    <row r="1" spans="1:29" ht="15.6" thickTop="1" thickBot="1" x14ac:dyDescent="0.35">
      <c r="B1" s="1120">
        <f>'General Real Data (Obs.)'!$E$4</f>
        <v>1</v>
      </c>
      <c r="C1" s="1121">
        <v>2</v>
      </c>
      <c r="D1" s="1121">
        <v>3</v>
      </c>
      <c r="E1" s="1121">
        <v>4</v>
      </c>
      <c r="F1" s="1121">
        <v>5</v>
      </c>
      <c r="G1" s="1121">
        <v>6</v>
      </c>
      <c r="H1" s="1121">
        <v>7</v>
      </c>
      <c r="I1" s="1121">
        <v>8</v>
      </c>
      <c r="J1" s="1121">
        <v>9</v>
      </c>
      <c r="K1" s="1121">
        <v>10</v>
      </c>
      <c r="L1" s="1121">
        <v>11</v>
      </c>
      <c r="M1" s="1121">
        <v>12</v>
      </c>
      <c r="N1" s="1121">
        <v>13</v>
      </c>
      <c r="O1" s="1121">
        <v>14</v>
      </c>
      <c r="P1" s="1121">
        <v>15</v>
      </c>
      <c r="Q1" s="1121">
        <v>16</v>
      </c>
      <c r="R1" s="1121">
        <v>17</v>
      </c>
      <c r="S1" s="1121">
        <v>18</v>
      </c>
      <c r="T1" s="1121">
        <v>19</v>
      </c>
      <c r="U1" s="1121">
        <v>20</v>
      </c>
      <c r="V1" s="1121">
        <v>21</v>
      </c>
      <c r="W1" s="1121">
        <v>22</v>
      </c>
      <c r="X1" s="1121">
        <v>23</v>
      </c>
      <c r="Y1" s="1121">
        <v>24</v>
      </c>
      <c r="Z1" s="1593">
        <v>25</v>
      </c>
      <c r="AA1" s="1120" t="str">
        <f>VLOOKUP("Total",tabIdiomas26[],MATCH('Indiv. Invoices Comparison'!$J$2,tabIdiomas26[#Headers]),FALSE)</f>
        <v>Total</v>
      </c>
    </row>
    <row r="2" spans="1:29" ht="15" thickBot="1" x14ac:dyDescent="0.35">
      <c r="A2" s="10"/>
      <c r="B2" s="1118">
        <f>'General Real Data (Obs.)'!$E$5</f>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571">
        <v>2049</v>
      </c>
      <c r="AA2" s="1118" t="str">
        <f>VLOOKUP("Conxunto do Proxecto",tabIdiomas26[],MATCH('Indiv. Invoices Comparison'!$J$2,tabIdiomas26[#Headers]),FALSE)</f>
        <v>Project Lifetime</v>
      </c>
    </row>
    <row r="3" spans="1:29" ht="15" thickTop="1" x14ac:dyDescent="0.3">
      <c r="A3" s="1592" t="str">
        <f>VLOOKUP("Ingresos por Enerxía Autoconsumida",tabIdiomas26[],MATCH('Indiv. Invoices Comparison'!$J$2,tabIdiomas26[#Headers]),FALSE)</f>
        <v>Revenues from Self-Consumed Energy</v>
      </c>
      <c r="B3" s="1814">
        <f>'All Partners Accounts'!B3/'General Real Data (Obs.)'!$E$222</f>
        <v>178.64</v>
      </c>
      <c r="C3" s="1694" t="e">
        <f>'Conta explotación'!G6*'Datos CE e Socios'!$B$5</f>
        <v>#N/A</v>
      </c>
      <c r="D3" s="1694" t="e">
        <f>'Conta explotación'!H6*'Datos CE e Socios'!$B$5</f>
        <v>#N/A</v>
      </c>
      <c r="E3" s="1694" t="e">
        <f>'Conta explotación'!I6*'Datos CE e Socios'!$B$5</f>
        <v>#N/A</v>
      </c>
      <c r="F3" s="1694" t="e">
        <f>'Conta explotación'!J6*'Datos CE e Socios'!$B$5</f>
        <v>#N/A</v>
      </c>
      <c r="G3" s="1694" t="e">
        <f>'Conta explotación'!K6*'Datos CE e Socios'!$B$5</f>
        <v>#N/A</v>
      </c>
      <c r="H3" s="1694" t="e">
        <f>'Conta explotación'!L6*'Datos CE e Socios'!$B$5</f>
        <v>#N/A</v>
      </c>
      <c r="I3" s="1694" t="e">
        <f>'Conta explotación'!M6*'Datos CE e Socios'!$B$5</f>
        <v>#N/A</v>
      </c>
      <c r="J3" s="1694" t="e">
        <f>'Conta explotación'!N6*'Datos CE e Socios'!$B$5</f>
        <v>#N/A</v>
      </c>
      <c r="K3" s="1694" t="e">
        <f>'Conta explotación'!O6*'Datos CE e Socios'!$B$5</f>
        <v>#N/A</v>
      </c>
      <c r="L3" s="1694" t="e">
        <f>'Conta explotación'!P6*'Datos CE e Socios'!$B$5</f>
        <v>#N/A</v>
      </c>
      <c r="M3" s="1694" t="e">
        <f>'Conta explotación'!Q6*'Datos CE e Socios'!$B$5</f>
        <v>#N/A</v>
      </c>
      <c r="N3" s="1694" t="e">
        <f>'Conta explotación'!R6*'Datos CE e Socios'!$B$5</f>
        <v>#N/A</v>
      </c>
      <c r="O3" s="1694" t="e">
        <f>'Conta explotación'!S6*'Datos CE e Socios'!$B$5</f>
        <v>#N/A</v>
      </c>
      <c r="P3" s="1694" t="e">
        <f>'Conta explotación'!T6*'Datos CE e Socios'!$B$5</f>
        <v>#N/A</v>
      </c>
      <c r="Q3" s="1694" t="e">
        <f>'Conta explotación'!U6*'Datos CE e Socios'!$B$5</f>
        <v>#N/A</v>
      </c>
      <c r="R3" s="1694" t="e">
        <f>'Conta explotación'!V6*'Datos CE e Socios'!$B$5</f>
        <v>#N/A</v>
      </c>
      <c r="S3" s="1694" t="e">
        <f>'Conta explotación'!W6*'Datos CE e Socios'!$B$5</f>
        <v>#N/A</v>
      </c>
      <c r="T3" s="1694" t="e">
        <f>'Conta explotación'!X6*'Datos CE e Socios'!$B$5</f>
        <v>#N/A</v>
      </c>
      <c r="U3" s="1694" t="e">
        <f>'Conta explotación'!Y6*'Datos CE e Socios'!$B$5</f>
        <v>#N/A</v>
      </c>
      <c r="V3" s="1694" t="e">
        <f>'Conta explotación'!Z6*'Datos CE e Socios'!$B$5</f>
        <v>#N/A</v>
      </c>
      <c r="W3" s="1694" t="e">
        <f>'Conta explotación'!AA6*'Datos CE e Socios'!$B$5</f>
        <v>#N/A</v>
      </c>
      <c r="X3" s="1694" t="e">
        <f>'Conta explotación'!AB6*'Datos CE e Socios'!$B$5</f>
        <v>#N/A</v>
      </c>
      <c r="Y3" s="1694" t="e">
        <f>'Conta explotación'!AC6*'Datos CE e Socios'!$B$5</f>
        <v>#N/A</v>
      </c>
      <c r="Z3" s="1695" t="e">
        <f>'Conta explotación'!AD6*'Datos CE e Socios'!$B$5</f>
        <v>#N/A</v>
      </c>
      <c r="AA3" s="1696" t="e">
        <f>SUM(B3:Z3)</f>
        <v>#N/A</v>
      </c>
    </row>
    <row r="4" spans="1:29" ht="28.8" x14ac:dyDescent="0.3">
      <c r="A4" s="1590" t="str">
        <f>VLOOKUP("Ingresos por Enerxía Excedentaria Suxeita a Compensación",tabIdiomas26[],MATCH('Indiv. Invoices Comparison'!$J$2,tabIdiomas26[#Headers]),FALSE)</f>
        <v>Revenues from Excedentary Energy Subject to Energy Compensation</v>
      </c>
      <c r="B4" s="1815">
        <f>'All Partners Accounts'!B4/'General Real Data (Obs.)'!$E$222</f>
        <v>89.32</v>
      </c>
      <c r="C4" s="1697" t="e">
        <f>'Conta explotación'!G7*'Datos CE e Socios'!$B$5</f>
        <v>#N/A</v>
      </c>
      <c r="D4" s="1697" t="e">
        <f>'Conta explotación'!H7*'Datos CE e Socios'!$B$5</f>
        <v>#N/A</v>
      </c>
      <c r="E4" s="1697" t="e">
        <f>'Conta explotación'!I7*'Datos CE e Socios'!$B$5</f>
        <v>#N/A</v>
      </c>
      <c r="F4" s="1697" t="e">
        <f>'Conta explotación'!J7*'Datos CE e Socios'!$B$5</f>
        <v>#N/A</v>
      </c>
      <c r="G4" s="1697" t="e">
        <f>'Conta explotación'!K7*'Datos CE e Socios'!$B$5</f>
        <v>#N/A</v>
      </c>
      <c r="H4" s="1697" t="e">
        <f>'Conta explotación'!L7*'Datos CE e Socios'!$B$5</f>
        <v>#N/A</v>
      </c>
      <c r="I4" s="1697" t="e">
        <f>'Conta explotación'!M7*'Datos CE e Socios'!$B$5</f>
        <v>#N/A</v>
      </c>
      <c r="J4" s="1697" t="e">
        <f>'Conta explotación'!N7*'Datos CE e Socios'!$B$5</f>
        <v>#N/A</v>
      </c>
      <c r="K4" s="1697" t="e">
        <f>'Conta explotación'!O7*'Datos CE e Socios'!$B$5</f>
        <v>#N/A</v>
      </c>
      <c r="L4" s="1697" t="e">
        <f>'Conta explotación'!P7*'Datos CE e Socios'!$B$5</f>
        <v>#N/A</v>
      </c>
      <c r="M4" s="1697" t="e">
        <f>'Conta explotación'!Q7*'Datos CE e Socios'!$B$5</f>
        <v>#N/A</v>
      </c>
      <c r="N4" s="1697" t="e">
        <f>'Conta explotación'!R7*'Datos CE e Socios'!$B$5</f>
        <v>#N/A</v>
      </c>
      <c r="O4" s="1697" t="e">
        <f>'Conta explotación'!S7*'Datos CE e Socios'!$B$5</f>
        <v>#N/A</v>
      </c>
      <c r="P4" s="1697" t="e">
        <f>'Conta explotación'!T7*'Datos CE e Socios'!$B$5</f>
        <v>#N/A</v>
      </c>
      <c r="Q4" s="1697" t="e">
        <f>'Conta explotación'!U7*'Datos CE e Socios'!$B$5</f>
        <v>#N/A</v>
      </c>
      <c r="R4" s="1697" t="e">
        <f>'Conta explotación'!V7*'Datos CE e Socios'!$B$5</f>
        <v>#N/A</v>
      </c>
      <c r="S4" s="1697" t="e">
        <f>'Conta explotación'!W7*'Datos CE e Socios'!$B$5</f>
        <v>#N/A</v>
      </c>
      <c r="T4" s="1697" t="e">
        <f>'Conta explotación'!X7*'Datos CE e Socios'!$B$5</f>
        <v>#N/A</v>
      </c>
      <c r="U4" s="1697" t="e">
        <f>'Conta explotación'!Y7*'Datos CE e Socios'!$B$5</f>
        <v>#N/A</v>
      </c>
      <c r="V4" s="1697" t="e">
        <f>'Conta explotación'!Z7*'Datos CE e Socios'!$B$5</f>
        <v>#N/A</v>
      </c>
      <c r="W4" s="1697" t="e">
        <f>'Conta explotación'!AA7*'Datos CE e Socios'!$B$5</f>
        <v>#N/A</v>
      </c>
      <c r="X4" s="1697" t="e">
        <f>'Conta explotación'!AB7*'Datos CE e Socios'!$B$5</f>
        <v>#N/A</v>
      </c>
      <c r="Y4" s="1697" t="e">
        <f>'Conta explotación'!AC7*'Datos CE e Socios'!$B$5</f>
        <v>#N/A</v>
      </c>
      <c r="Z4" s="1698" t="e">
        <f>'Conta explotación'!AD7*'Datos CE e Socios'!$B$5</f>
        <v>#N/A</v>
      </c>
      <c r="AA4" s="1699" t="e">
        <f>SUM(B4:Z4)</f>
        <v>#N/A</v>
      </c>
    </row>
    <row r="5" spans="1:29" ht="15" thickBot="1" x14ac:dyDescent="0.35">
      <c r="A5" s="1587" t="str">
        <f>VLOOKUP("Ingresos por Enerxía Excedentaria Vendida",tabIdiomas26[],MATCH('Indiv. Invoices Comparison'!$J$2,tabIdiomas26[#Headers]),FALSE)</f>
        <v>Revenues from Excedentary Energy Sold</v>
      </c>
      <c r="B5" s="1815">
        <f>'All Partners Accounts'!B5/'General Real Data (Obs.)'!$E$222</f>
        <v>0</v>
      </c>
      <c r="C5" s="1697" t="e">
        <f>'Conta explotación'!G8*'Datos CE e Socios'!$B$5</f>
        <v>#N/A</v>
      </c>
      <c r="D5" s="1697" t="e">
        <f>'Conta explotación'!H8*'Datos CE e Socios'!$B$5</f>
        <v>#N/A</v>
      </c>
      <c r="E5" s="1697" t="e">
        <f>'Conta explotación'!I8*'Datos CE e Socios'!$B$5</f>
        <v>#N/A</v>
      </c>
      <c r="F5" s="1697" t="e">
        <f>'Conta explotación'!J8*'Datos CE e Socios'!$B$5</f>
        <v>#N/A</v>
      </c>
      <c r="G5" s="1697" t="e">
        <f>'Conta explotación'!K8*'Datos CE e Socios'!$B$5</f>
        <v>#N/A</v>
      </c>
      <c r="H5" s="1697" t="e">
        <f>'Conta explotación'!L8*'Datos CE e Socios'!$B$5</f>
        <v>#N/A</v>
      </c>
      <c r="I5" s="1697" t="e">
        <f>'Conta explotación'!M8*'Datos CE e Socios'!$B$5</f>
        <v>#N/A</v>
      </c>
      <c r="J5" s="1697" t="e">
        <f>'Conta explotación'!N8*'Datos CE e Socios'!$B$5</f>
        <v>#N/A</v>
      </c>
      <c r="K5" s="1697" t="e">
        <f>'Conta explotación'!O8*'Datos CE e Socios'!$B$5</f>
        <v>#N/A</v>
      </c>
      <c r="L5" s="1697" t="e">
        <f>'Conta explotación'!P8*'Datos CE e Socios'!$B$5</f>
        <v>#N/A</v>
      </c>
      <c r="M5" s="1697" t="e">
        <f>'Conta explotación'!Q8*'Datos CE e Socios'!$B$5</f>
        <v>#N/A</v>
      </c>
      <c r="N5" s="1697" t="e">
        <f>'Conta explotación'!R8*'Datos CE e Socios'!$B$5</f>
        <v>#N/A</v>
      </c>
      <c r="O5" s="1697" t="e">
        <f>'Conta explotación'!S8*'Datos CE e Socios'!$B$5</f>
        <v>#N/A</v>
      </c>
      <c r="P5" s="1697" t="e">
        <f>'Conta explotación'!T8*'Datos CE e Socios'!$B$5</f>
        <v>#N/A</v>
      </c>
      <c r="Q5" s="1697" t="e">
        <f>'Conta explotación'!U8*'Datos CE e Socios'!$B$5</f>
        <v>#N/A</v>
      </c>
      <c r="R5" s="1697" t="e">
        <f>'Conta explotación'!V8*'Datos CE e Socios'!$B$5</f>
        <v>#N/A</v>
      </c>
      <c r="S5" s="1697" t="e">
        <f>'Conta explotación'!W8*'Datos CE e Socios'!$B$5</f>
        <v>#N/A</v>
      </c>
      <c r="T5" s="1697" t="e">
        <f>'Conta explotación'!X8*'Datos CE e Socios'!$B$5</f>
        <v>#N/A</v>
      </c>
      <c r="U5" s="1697" t="e">
        <f>'Conta explotación'!Y8*'Datos CE e Socios'!$B$5</f>
        <v>#N/A</v>
      </c>
      <c r="V5" s="1697" t="e">
        <f>'Conta explotación'!Z8*'Datos CE e Socios'!$B$5</f>
        <v>#N/A</v>
      </c>
      <c r="W5" s="1697" t="e">
        <f>'Conta explotación'!AA8*'Datos CE e Socios'!$B$5</f>
        <v>#N/A</v>
      </c>
      <c r="X5" s="1697" t="e">
        <f>'Conta explotación'!AB8*'Datos CE e Socios'!$B$5</f>
        <v>#N/A</v>
      </c>
      <c r="Y5" s="1697" t="e">
        <f>'Conta explotación'!AC8*'Datos CE e Socios'!$B$5</f>
        <v>#N/A</v>
      </c>
      <c r="Z5" s="1700" t="e">
        <f>'Conta explotación'!AD8*'Datos CE e Socios'!$B$5</f>
        <v>#N/A</v>
      </c>
      <c r="AA5" s="1701" t="e">
        <f>SUM(B5:Z5)</f>
        <v>#N/A</v>
      </c>
    </row>
    <row r="6" spans="1:29" ht="28.8" x14ac:dyDescent="0.3">
      <c r="A6" s="1584" t="str">
        <f>VLOOKUP("Ingresos por Prestación Gratuíta de Outros Servizos pola Entidade Xestora da Iniciativa Comunitaria",tabIdiomas26[],MATCH('Indiv. Invoices Comparison'!$J$2,tabIdiomas26[#Headers]),FALSE)</f>
        <v>Income Deriving from Free-of-Charge Services provided to the Partners by the Energy Initiative Manager-Entity</v>
      </c>
      <c r="B6" s="1814">
        <f>'All Partners Accounts'!B6/'General Real Data (Obs.)'!$E$222</f>
        <v>0</v>
      </c>
      <c r="C6" s="1694">
        <f>B6*(1+'Hipóteses xerais (2)'!$C$40)</f>
        <v>0</v>
      </c>
      <c r="D6" s="1694">
        <f>C6*(1+'Hipóteses xerais (2)'!$C$40)</f>
        <v>0</v>
      </c>
      <c r="E6" s="1694">
        <f>D6*(1+'Hipóteses xerais (2)'!$C$40)</f>
        <v>0</v>
      </c>
      <c r="F6" s="1694">
        <f>E6*(1+'Hipóteses xerais (2)'!$C$40)</f>
        <v>0</v>
      </c>
      <c r="G6" s="1694">
        <f>F6*(1+'Hipóteses xerais (2)'!$C$40)</f>
        <v>0</v>
      </c>
      <c r="H6" s="1694">
        <f>G6*(1+'Hipóteses xerais (2)'!$C$40)</f>
        <v>0</v>
      </c>
      <c r="I6" s="1694">
        <f>H6*(1+'Hipóteses xerais (2)'!$C$40)</f>
        <v>0</v>
      </c>
      <c r="J6" s="1694">
        <f>I6*(1+'Hipóteses xerais (2)'!$C$40)</f>
        <v>0</v>
      </c>
      <c r="K6" s="1694">
        <f>J6*(1+'Hipóteses xerais (2)'!$C$40)</f>
        <v>0</v>
      </c>
      <c r="L6" s="1694">
        <f>K6*(1+'Hipóteses xerais (2)'!$C$40)</f>
        <v>0</v>
      </c>
      <c r="M6" s="1694">
        <f>L6*(1+'Hipóteses xerais (2)'!$C$40)</f>
        <v>0</v>
      </c>
      <c r="N6" s="1694">
        <f>M6*(1+'Hipóteses xerais (2)'!$C$40)</f>
        <v>0</v>
      </c>
      <c r="O6" s="1694">
        <f>N6*(1+'Hipóteses xerais (2)'!$C$40)</f>
        <v>0</v>
      </c>
      <c r="P6" s="1694">
        <f>O6*(1+'Hipóteses xerais (2)'!$C$40)</f>
        <v>0</v>
      </c>
      <c r="Q6" s="1694">
        <f>P6*(1+'Hipóteses xerais (2)'!$C$40)</f>
        <v>0</v>
      </c>
      <c r="R6" s="1694">
        <f>Q6*(1+'Hipóteses xerais (2)'!$C$40)</f>
        <v>0</v>
      </c>
      <c r="S6" s="1694">
        <f>R6*(1+'Hipóteses xerais (2)'!$C$40)</f>
        <v>0</v>
      </c>
      <c r="T6" s="1694">
        <f>S6*(1+'Hipóteses xerais (2)'!$C$40)</f>
        <v>0</v>
      </c>
      <c r="U6" s="1694">
        <f>T6*(1+'Hipóteses xerais (2)'!$C$40)</f>
        <v>0</v>
      </c>
      <c r="V6" s="1694">
        <f>U6*(1+'Hipóteses xerais (2)'!$C$40)</f>
        <v>0</v>
      </c>
      <c r="W6" s="1694">
        <f>V6*(1+'Hipóteses xerais (2)'!$C$40)</f>
        <v>0</v>
      </c>
      <c r="X6" s="1694">
        <f>W6*(1+'Hipóteses xerais (2)'!$C$40)</f>
        <v>0</v>
      </c>
      <c r="Y6" s="1694">
        <f>X6*(1+'Hipóteses xerais (2)'!$C$40)</f>
        <v>0</v>
      </c>
      <c r="Z6" s="1695">
        <f>Y6*(1+'Hipóteses xerais (2)'!$C$40)</f>
        <v>0</v>
      </c>
      <c r="AA6" s="1702">
        <f>SUM(B6:Z6)</f>
        <v>0</v>
      </c>
    </row>
    <row r="7" spans="1:29" ht="29.4" thickBot="1" x14ac:dyDescent="0.35">
      <c r="A7" s="1580" t="str">
        <f>VLOOKUP("Outros Ingresos Percibidos da Entidade Xestora da Iniciativa Comunitaria",tabIdiomas26[],MATCH('Indiv. Invoices Comparison'!$J$2,tabIdiomas26[#Headers]),FALSE)</f>
        <v>Other Incomes perceived by the Partners from the Energy Initiative Manager-Entity</v>
      </c>
      <c r="B7" s="1816">
        <f>'All Partners Accounts'!B7/'General Real Data (Obs.)'!$E$222</f>
        <v>0</v>
      </c>
      <c r="C7" s="1703">
        <f>B7*(1+'Hipóteses xerais (2)'!$C$40)</f>
        <v>0</v>
      </c>
      <c r="D7" s="1703">
        <f>C7*(1+'Hipóteses xerais (2)'!$C$40)</f>
        <v>0</v>
      </c>
      <c r="E7" s="1703">
        <f>D7*(1+'Hipóteses xerais (2)'!$C$40)</f>
        <v>0</v>
      </c>
      <c r="F7" s="1703">
        <f>E7*(1+'Hipóteses xerais (2)'!$C$40)</f>
        <v>0</v>
      </c>
      <c r="G7" s="1703">
        <f>F7*(1+'Hipóteses xerais (2)'!$C$40)</f>
        <v>0</v>
      </c>
      <c r="H7" s="1703">
        <f>G7*(1+'Hipóteses xerais (2)'!$C$40)</f>
        <v>0</v>
      </c>
      <c r="I7" s="1703">
        <f>H7*(1+'Hipóteses xerais (2)'!$C$40)</f>
        <v>0</v>
      </c>
      <c r="J7" s="1703">
        <f>I7*(1+'Hipóteses xerais (2)'!$C$40)</f>
        <v>0</v>
      </c>
      <c r="K7" s="1703">
        <f>J7*(1+'Hipóteses xerais (2)'!$C$40)</f>
        <v>0</v>
      </c>
      <c r="L7" s="1703">
        <f>K7*(1+'Hipóteses xerais (2)'!$C$40)</f>
        <v>0</v>
      </c>
      <c r="M7" s="1703">
        <f>L7*(1+'Hipóteses xerais (2)'!$C$40)</f>
        <v>0</v>
      </c>
      <c r="N7" s="1703">
        <f>M7*(1+'Hipóteses xerais (2)'!$C$40)</f>
        <v>0</v>
      </c>
      <c r="O7" s="1703">
        <f>N7*(1+'Hipóteses xerais (2)'!$C$40)</f>
        <v>0</v>
      </c>
      <c r="P7" s="1703">
        <f>O7*(1+'Hipóteses xerais (2)'!$C$40)</f>
        <v>0</v>
      </c>
      <c r="Q7" s="1703">
        <f>P7*(1+'Hipóteses xerais (2)'!$C$40)</f>
        <v>0</v>
      </c>
      <c r="R7" s="1703">
        <f>Q7*(1+'Hipóteses xerais (2)'!$C$40)</f>
        <v>0</v>
      </c>
      <c r="S7" s="1703">
        <f>R7*(1+'Hipóteses xerais (2)'!$C$40)</f>
        <v>0</v>
      </c>
      <c r="T7" s="1703">
        <f>S7*(1+'Hipóteses xerais (2)'!$C$40)</f>
        <v>0</v>
      </c>
      <c r="U7" s="1703">
        <f>T7*(1+'Hipóteses xerais (2)'!$C$40)</f>
        <v>0</v>
      </c>
      <c r="V7" s="1703">
        <f>U7*(1+'Hipóteses xerais (2)'!$C$40)</f>
        <v>0</v>
      </c>
      <c r="W7" s="1703">
        <f>V7*(1+'Hipóteses xerais (2)'!$C$40)</f>
        <v>0</v>
      </c>
      <c r="X7" s="1703">
        <f>W7*(1+'Hipóteses xerais (2)'!$C$40)</f>
        <v>0</v>
      </c>
      <c r="Y7" s="1703">
        <f>X7*(1+'Hipóteses xerais (2)'!$C$40)</f>
        <v>0</v>
      </c>
      <c r="Z7" s="1704">
        <f>Y7*(1+'Hipóteses xerais (2)'!$C$40)</f>
        <v>0</v>
      </c>
      <c r="AA7" s="1701">
        <f>SUM(B7:Z7)</f>
        <v>0</v>
      </c>
    </row>
    <row r="8" spans="1:29" s="13" customFormat="1" ht="29.4" thickBot="1" x14ac:dyDescent="0.35">
      <c r="A8" s="1576" t="str">
        <f>VLOOKUP("Total Ingresos Derivados da Pertenza á Iniciativa Enerxética Comunitaria",tabIdiomas26[],MATCH('Indiv. Invoices Comparison'!$J$2,tabIdiomas26[#Headers]),FALSE)</f>
        <v>Total Revenues Derived from the Community Energy Initiative Membership</v>
      </c>
      <c r="B8" s="1817">
        <f>SUM(B3:B7)</f>
        <v>267.95999999999998</v>
      </c>
      <c r="C8" s="1608" t="e">
        <f t="shared" ref="C8:AA8" si="0">SUM(C3:C7)</f>
        <v>#N/A</v>
      </c>
      <c r="D8" s="1608" t="e">
        <f t="shared" si="0"/>
        <v>#N/A</v>
      </c>
      <c r="E8" s="1608" t="e">
        <f t="shared" si="0"/>
        <v>#N/A</v>
      </c>
      <c r="F8" s="1608" t="e">
        <f t="shared" si="0"/>
        <v>#N/A</v>
      </c>
      <c r="G8" s="1608" t="e">
        <f t="shared" si="0"/>
        <v>#N/A</v>
      </c>
      <c r="H8" s="1608" t="e">
        <f t="shared" si="0"/>
        <v>#N/A</v>
      </c>
      <c r="I8" s="1608" t="e">
        <f t="shared" si="0"/>
        <v>#N/A</v>
      </c>
      <c r="J8" s="1608" t="e">
        <f t="shared" si="0"/>
        <v>#N/A</v>
      </c>
      <c r="K8" s="1608" t="e">
        <f t="shared" si="0"/>
        <v>#N/A</v>
      </c>
      <c r="L8" s="1608" t="e">
        <f t="shared" si="0"/>
        <v>#N/A</v>
      </c>
      <c r="M8" s="1608" t="e">
        <f t="shared" si="0"/>
        <v>#N/A</v>
      </c>
      <c r="N8" s="1608" t="e">
        <f t="shared" si="0"/>
        <v>#N/A</v>
      </c>
      <c r="O8" s="1608" t="e">
        <f t="shared" si="0"/>
        <v>#N/A</v>
      </c>
      <c r="P8" s="1608" t="e">
        <f t="shared" si="0"/>
        <v>#N/A</v>
      </c>
      <c r="Q8" s="1608" t="e">
        <f t="shared" si="0"/>
        <v>#N/A</v>
      </c>
      <c r="R8" s="1608" t="e">
        <f t="shared" si="0"/>
        <v>#N/A</v>
      </c>
      <c r="S8" s="1608" t="e">
        <f t="shared" si="0"/>
        <v>#N/A</v>
      </c>
      <c r="T8" s="1608" t="e">
        <f t="shared" si="0"/>
        <v>#N/A</v>
      </c>
      <c r="U8" s="1608" t="e">
        <f t="shared" si="0"/>
        <v>#N/A</v>
      </c>
      <c r="V8" s="1608" t="e">
        <f t="shared" si="0"/>
        <v>#N/A</v>
      </c>
      <c r="W8" s="1608" t="e">
        <f t="shared" si="0"/>
        <v>#N/A</v>
      </c>
      <c r="X8" s="1608" t="e">
        <f t="shared" si="0"/>
        <v>#N/A</v>
      </c>
      <c r="Y8" s="1608" t="e">
        <f t="shared" si="0"/>
        <v>#N/A</v>
      </c>
      <c r="Z8" s="1607" t="e">
        <f t="shared" si="0"/>
        <v>#N/A</v>
      </c>
      <c r="AA8" s="1705" t="e">
        <f t="shared" si="0"/>
        <v>#N/A</v>
      </c>
      <c r="AB8" s="1114"/>
      <c r="AC8" s="1114"/>
    </row>
    <row r="9" spans="1:29" ht="15" thickTop="1" x14ac:dyDescent="0.3">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15" thickBot="1" x14ac:dyDescent="0.3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706"/>
    </row>
    <row r="11" spans="1:29" ht="15.6" thickTop="1" thickBot="1" x14ac:dyDescent="0.35">
      <c r="A11" s="10"/>
      <c r="B11" s="1120">
        <f>$B$1</f>
        <v>1</v>
      </c>
      <c r="C11" s="1121">
        <v>2</v>
      </c>
      <c r="D11" s="1121">
        <v>3</v>
      </c>
      <c r="E11" s="1121">
        <v>4</v>
      </c>
      <c r="F11" s="1121">
        <v>5</v>
      </c>
      <c r="G11" s="1121">
        <v>6</v>
      </c>
      <c r="H11" s="1121">
        <v>7</v>
      </c>
      <c r="I11" s="1121">
        <v>8</v>
      </c>
      <c r="J11" s="1121">
        <v>9</v>
      </c>
      <c r="K11" s="1121">
        <v>10</v>
      </c>
      <c r="L11" s="1121">
        <v>11</v>
      </c>
      <c r="M11" s="1121">
        <v>12</v>
      </c>
      <c r="N11" s="1121">
        <v>13</v>
      </c>
      <c r="O11" s="1121">
        <v>14</v>
      </c>
      <c r="P11" s="1121">
        <v>15</v>
      </c>
      <c r="Q11" s="1121">
        <v>16</v>
      </c>
      <c r="R11" s="1121">
        <v>17</v>
      </c>
      <c r="S11" s="1121">
        <v>18</v>
      </c>
      <c r="T11" s="1121">
        <v>19</v>
      </c>
      <c r="U11" s="1121">
        <v>20</v>
      </c>
      <c r="V11" s="1121">
        <v>21</v>
      </c>
      <c r="W11" s="1121">
        <v>22</v>
      </c>
      <c r="X11" s="1121">
        <v>23</v>
      </c>
      <c r="Y11" s="1121">
        <v>24</v>
      </c>
      <c r="Z11" s="1121">
        <v>25</v>
      </c>
      <c r="AA11" s="1120" t="str">
        <f>VLOOKUP("Total",tabIdiomas26[],MATCH('Indiv. Invoices Comparison'!$J$2,tabIdiomas26[#Headers]),FALSE)</f>
        <v>Total</v>
      </c>
    </row>
    <row r="12" spans="1:29" ht="15" thickBot="1" x14ac:dyDescent="0.35">
      <c r="A12" s="10"/>
      <c r="B12" s="1807">
        <f>$B$2</f>
        <v>2025</v>
      </c>
      <c r="C12" s="1336">
        <v>2026</v>
      </c>
      <c r="D12" s="1336">
        <v>2027</v>
      </c>
      <c r="E12" s="1336">
        <v>2028</v>
      </c>
      <c r="F12" s="1336">
        <v>2029</v>
      </c>
      <c r="G12" s="1336">
        <v>2030</v>
      </c>
      <c r="H12" s="1336">
        <v>2031</v>
      </c>
      <c r="I12" s="1336">
        <v>2032</v>
      </c>
      <c r="J12" s="1336">
        <v>2033</v>
      </c>
      <c r="K12" s="1336">
        <v>2034</v>
      </c>
      <c r="L12" s="1336">
        <v>2035</v>
      </c>
      <c r="M12" s="1336">
        <v>2036</v>
      </c>
      <c r="N12" s="1336">
        <v>2037</v>
      </c>
      <c r="O12" s="1336">
        <v>2038</v>
      </c>
      <c r="P12" s="1336">
        <v>2039</v>
      </c>
      <c r="Q12" s="1336">
        <v>2040</v>
      </c>
      <c r="R12" s="1336">
        <v>2041</v>
      </c>
      <c r="S12" s="1336">
        <v>2042</v>
      </c>
      <c r="T12" s="1336">
        <v>2043</v>
      </c>
      <c r="U12" s="1336">
        <v>2044</v>
      </c>
      <c r="V12" s="1336">
        <v>2045</v>
      </c>
      <c r="W12" s="1336">
        <v>2046</v>
      </c>
      <c r="X12" s="1336">
        <v>2047</v>
      </c>
      <c r="Y12" s="1336">
        <v>2048</v>
      </c>
      <c r="Z12" s="1571">
        <v>2049</v>
      </c>
      <c r="AA12" s="1118" t="str">
        <f>VLOOKUP("Conxunto do Proxecto",tabIdiomas26[],MATCH('Indiv. Invoices Comparison'!$J$2,tabIdiomas26[#Headers]),FALSE)</f>
        <v>Project Lifetime</v>
      </c>
    </row>
    <row r="13" spans="1:29" s="13" customFormat="1" ht="15" thickTop="1" x14ac:dyDescent="0.3">
      <c r="A13" s="1606" t="str">
        <f>VLOOKUP("Cota Extraordinaria Inicial (Só Primeiro Ano)",tabIdiomas26[],MATCH('Indiv. Invoices Comparison'!$J$2,tabIdiomas26[#Headers]),FALSE)</f>
        <v>Extraordinary Initial Membership Fee (Only for the First Year)</v>
      </c>
      <c r="B13" s="1818">
        <f>'All Partners Accounts'!B13/'General Real Data (Obs.)'!$E$222</f>
        <v>0</v>
      </c>
      <c r="C13" s="1524">
        <f>'Conta explotación'!G10*'Datos CE e Socios'!$B$5</f>
        <v>0</v>
      </c>
      <c r="D13" s="1524">
        <f>'Conta explotación'!H10*'Datos CE e Socios'!$B$5</f>
        <v>0</v>
      </c>
      <c r="E13" s="1524">
        <f>'Conta explotación'!I10*'Datos CE e Socios'!$B$5</f>
        <v>0</v>
      </c>
      <c r="F13" s="1524">
        <f>'Conta explotación'!J10*'Datos CE e Socios'!$B$5</f>
        <v>0</v>
      </c>
      <c r="G13" s="1524">
        <f>'Conta explotación'!K10*'Datos CE e Socios'!$B$5</f>
        <v>0</v>
      </c>
      <c r="H13" s="1524">
        <f>'Conta explotación'!L10*'Datos CE e Socios'!$B$5</f>
        <v>0</v>
      </c>
      <c r="I13" s="1524">
        <f>'Conta explotación'!M10*'Datos CE e Socios'!$B$5</f>
        <v>0</v>
      </c>
      <c r="J13" s="1524">
        <f>'Conta explotación'!N10*'Datos CE e Socios'!$B$5</f>
        <v>0</v>
      </c>
      <c r="K13" s="1524">
        <f>'Conta explotación'!O10*'Datos CE e Socios'!$B$5</f>
        <v>0</v>
      </c>
      <c r="L13" s="1524">
        <f>'Conta explotación'!P10*'Datos CE e Socios'!$B$5</f>
        <v>0</v>
      </c>
      <c r="M13" s="1524">
        <f>'Conta explotación'!Q10*'Datos CE e Socios'!$B$5</f>
        <v>0</v>
      </c>
      <c r="N13" s="1524">
        <f>'Conta explotación'!R10*'Datos CE e Socios'!$B$5</f>
        <v>0</v>
      </c>
      <c r="O13" s="1524">
        <f>'Conta explotación'!S10*'Datos CE e Socios'!$B$5</f>
        <v>0</v>
      </c>
      <c r="P13" s="1524">
        <f>'Conta explotación'!T10*'Datos CE e Socios'!$B$5</f>
        <v>0</v>
      </c>
      <c r="Q13" s="1524">
        <f>'Conta explotación'!U10*'Datos CE e Socios'!$B$5</f>
        <v>0</v>
      </c>
      <c r="R13" s="1524">
        <f>'Conta explotación'!V10*'Datos CE e Socios'!$B$5</f>
        <v>0</v>
      </c>
      <c r="S13" s="1524">
        <f>'Conta explotación'!W10*'Datos CE e Socios'!$B$5</f>
        <v>0</v>
      </c>
      <c r="T13" s="1524">
        <f>'Conta explotación'!X10*'Datos CE e Socios'!$B$5</f>
        <v>0</v>
      </c>
      <c r="U13" s="1524">
        <f>'Conta explotación'!Y10*'Datos CE e Socios'!$B$5</f>
        <v>0</v>
      </c>
      <c r="V13" s="1524">
        <f>'Conta explotación'!Z10*'Datos CE e Socios'!$B$5</f>
        <v>0</v>
      </c>
      <c r="W13" s="1524">
        <f>'Conta explotación'!AA10*'Datos CE e Socios'!$B$5</f>
        <v>0</v>
      </c>
      <c r="X13" s="1524">
        <f>'Conta explotación'!AB10*'Datos CE e Socios'!$B$5</f>
        <v>0</v>
      </c>
      <c r="Y13" s="1524">
        <f>'Conta explotación'!AC10*'Datos CE e Socios'!$B$5</f>
        <v>0</v>
      </c>
      <c r="Z13" s="1523">
        <f>'Conta explotación'!AD10*'Datos CE e Socios'!$B$5</f>
        <v>0</v>
      </c>
      <c r="AA13" s="1567">
        <f>SUM(B13:Z13)</f>
        <v>0</v>
      </c>
      <c r="AB13" s="1114"/>
      <c r="AC13" s="1114"/>
    </row>
    <row r="14" spans="1:29" ht="15" thickBot="1" x14ac:dyDescent="0.35">
      <c r="A14" s="1605" t="str">
        <f>VLOOKUP("Cotas de Socios",tabIdiomas26[],MATCH('Indiv. Invoices Comparison'!$J$2,tabIdiomas26[#Headers]),FALSE)</f>
        <v>Membership Fees</v>
      </c>
      <c r="B14" s="1809">
        <f>'All Partners Accounts'!B14/'General Real Data (Obs.)'!$E$222</f>
        <v>98.818799999999996</v>
      </c>
      <c r="C14" s="1565" t="e">
        <f>'Conta explotación'!G11*'Datos CE e Socios'!$B$5</f>
        <v>#N/A</v>
      </c>
      <c r="D14" s="1565" t="e">
        <f>'Conta explotación'!H11*'Datos CE e Socios'!$B$5</f>
        <v>#N/A</v>
      </c>
      <c r="E14" s="1565" t="e">
        <f>'Conta explotación'!I11*'Datos CE e Socios'!$B$5</f>
        <v>#N/A</v>
      </c>
      <c r="F14" s="1565" t="e">
        <f>'Conta explotación'!J11*'Datos CE e Socios'!$B$5</f>
        <v>#N/A</v>
      </c>
      <c r="G14" s="1565" t="e">
        <f>'Conta explotación'!K11*'Datos CE e Socios'!$B$5</f>
        <v>#N/A</v>
      </c>
      <c r="H14" s="1565" t="e">
        <f>'Conta explotación'!L11*'Datos CE e Socios'!$B$5</f>
        <v>#N/A</v>
      </c>
      <c r="I14" s="1565" t="e">
        <f>'Conta explotación'!M11*'Datos CE e Socios'!$B$5</f>
        <v>#N/A</v>
      </c>
      <c r="J14" s="1565" t="e">
        <f>'Conta explotación'!N11*'Datos CE e Socios'!$B$5</f>
        <v>#N/A</v>
      </c>
      <c r="K14" s="1565" t="e">
        <f>'Conta explotación'!O11*'Datos CE e Socios'!$B$5</f>
        <v>#N/A</v>
      </c>
      <c r="L14" s="1565" t="e">
        <f>'Conta explotación'!P11*'Datos CE e Socios'!$B$5</f>
        <v>#N/A</v>
      </c>
      <c r="M14" s="1565" t="e">
        <f>'Conta explotación'!Q11*'Datos CE e Socios'!$B$5</f>
        <v>#N/A</v>
      </c>
      <c r="N14" s="1565" t="e">
        <f>'Conta explotación'!R11*'Datos CE e Socios'!$B$5</f>
        <v>#N/A</v>
      </c>
      <c r="O14" s="1565" t="e">
        <f>'Conta explotación'!S11*'Datos CE e Socios'!$B$5</f>
        <v>#N/A</v>
      </c>
      <c r="P14" s="1565" t="e">
        <f>'Conta explotación'!T11*'Datos CE e Socios'!$B$5</f>
        <v>#N/A</v>
      </c>
      <c r="Q14" s="1565" t="e">
        <f>'Conta explotación'!U11*'Datos CE e Socios'!$B$5</f>
        <v>#N/A</v>
      </c>
      <c r="R14" s="1565" t="e">
        <f>'Conta explotación'!V11*'Datos CE e Socios'!$B$5</f>
        <v>#N/A</v>
      </c>
      <c r="S14" s="1565" t="e">
        <f>'Conta explotación'!W11*'Datos CE e Socios'!$B$5</f>
        <v>#N/A</v>
      </c>
      <c r="T14" s="1565" t="e">
        <f>'Conta explotación'!X11*'Datos CE e Socios'!$B$5</f>
        <v>#N/A</v>
      </c>
      <c r="U14" s="1565" t="e">
        <f>'Conta explotación'!Y11*'Datos CE e Socios'!$B$5</f>
        <v>#N/A</v>
      </c>
      <c r="V14" s="1565" t="e">
        <f>'Conta explotación'!Z11*'Datos CE e Socios'!$B$5</f>
        <v>#N/A</v>
      </c>
      <c r="W14" s="1565" t="e">
        <f>'Conta explotación'!AA11*'Datos CE e Socios'!$B$5</f>
        <v>#N/A</v>
      </c>
      <c r="X14" s="1565" t="e">
        <f>'Conta explotación'!AB11*'Datos CE e Socios'!$B$5</f>
        <v>#N/A</v>
      </c>
      <c r="Y14" s="1565" t="e">
        <f>'Conta explotación'!AC11*'Datos CE e Socios'!$B$5</f>
        <v>#N/A</v>
      </c>
      <c r="Z14" s="1564" t="e">
        <f>'Conta explotación'!AD11*'Datos CE e Socios'!$B$5</f>
        <v>#N/A</v>
      </c>
      <c r="AA14" s="1563" t="e">
        <f>SUM(B14:Z14)</f>
        <v>#N/A</v>
      </c>
    </row>
    <row r="15" spans="1:29" ht="15" thickBot="1" x14ac:dyDescent="0.35">
      <c r="A15" s="1604" t="str">
        <f>VLOOKUP("Cargos por Prestación de Servizos Complementarios aos Socios",tabIdiomas26[],MATCH('Indiv. Invoices Comparison'!$J$2,tabIdiomas26[#Headers]),FALSE)</f>
        <v>Charges for Complementary Services Provision to Partners</v>
      </c>
      <c r="B15" s="1810">
        <f>'All Partners Accounts'!B15/'General Real Data (Obs.)'!$E$222</f>
        <v>0</v>
      </c>
      <c r="C15" s="1561" t="e">
        <f>'Conta explotación'!G12*'Datos CE e Socios'!$B$5</f>
        <v>#N/A</v>
      </c>
      <c r="D15" s="1561" t="e">
        <f>'Conta explotación'!H12*'Datos CE e Socios'!$B$5</f>
        <v>#N/A</v>
      </c>
      <c r="E15" s="1561" t="e">
        <f>'Conta explotación'!I12*'Datos CE e Socios'!$B$5</f>
        <v>#N/A</v>
      </c>
      <c r="F15" s="1561" t="e">
        <f>'Conta explotación'!J12*'Datos CE e Socios'!$B$5</f>
        <v>#N/A</v>
      </c>
      <c r="G15" s="1561" t="e">
        <f>'Conta explotación'!K12*'Datos CE e Socios'!$B$5</f>
        <v>#N/A</v>
      </c>
      <c r="H15" s="1561" t="e">
        <f>'Conta explotación'!L12*'Datos CE e Socios'!$B$5</f>
        <v>#N/A</v>
      </c>
      <c r="I15" s="1561" t="e">
        <f>'Conta explotación'!M12*'Datos CE e Socios'!$B$5</f>
        <v>#N/A</v>
      </c>
      <c r="J15" s="1561" t="e">
        <f>'Conta explotación'!N12*'Datos CE e Socios'!$B$5</f>
        <v>#N/A</v>
      </c>
      <c r="K15" s="1561" t="e">
        <f>'Conta explotación'!O12*'Datos CE e Socios'!$B$5</f>
        <v>#N/A</v>
      </c>
      <c r="L15" s="1561" t="e">
        <f>'Conta explotación'!P12*'Datos CE e Socios'!$B$5</f>
        <v>#N/A</v>
      </c>
      <c r="M15" s="1561" t="e">
        <f>'Conta explotación'!Q12*'Datos CE e Socios'!$B$5</f>
        <v>#N/A</v>
      </c>
      <c r="N15" s="1561" t="e">
        <f>'Conta explotación'!R12*'Datos CE e Socios'!$B$5</f>
        <v>#N/A</v>
      </c>
      <c r="O15" s="1561" t="e">
        <f>'Conta explotación'!S12*'Datos CE e Socios'!$B$5</f>
        <v>#N/A</v>
      </c>
      <c r="P15" s="1561" t="e">
        <f>'Conta explotación'!T12*'Datos CE e Socios'!$B$5</f>
        <v>#N/A</v>
      </c>
      <c r="Q15" s="1561" t="e">
        <f>'Conta explotación'!U12*'Datos CE e Socios'!$B$5</f>
        <v>#N/A</v>
      </c>
      <c r="R15" s="1561" t="e">
        <f>'Conta explotación'!V12*'Datos CE e Socios'!$B$5</f>
        <v>#N/A</v>
      </c>
      <c r="S15" s="1561" t="e">
        <f>'Conta explotación'!W12*'Datos CE e Socios'!$B$5</f>
        <v>#N/A</v>
      </c>
      <c r="T15" s="1561" t="e">
        <f>'Conta explotación'!X12*'Datos CE e Socios'!$B$5</f>
        <v>#N/A</v>
      </c>
      <c r="U15" s="1561" t="e">
        <f>'Conta explotación'!Y12*'Datos CE e Socios'!$B$5</f>
        <v>#N/A</v>
      </c>
      <c r="V15" s="1561" t="e">
        <f>'Conta explotación'!Z12*'Datos CE e Socios'!$B$5</f>
        <v>#N/A</v>
      </c>
      <c r="W15" s="1561" t="e">
        <f>'Conta explotación'!AA12*'Datos CE e Socios'!$B$5</f>
        <v>#N/A</v>
      </c>
      <c r="X15" s="1561" t="e">
        <f>'Conta explotación'!AB12*'Datos CE e Socios'!$B$5</f>
        <v>#N/A</v>
      </c>
      <c r="Y15" s="1561" t="e">
        <f>'Conta explotación'!AC12*'Datos CE e Socios'!$B$5</f>
        <v>#N/A</v>
      </c>
      <c r="Z15" s="1560" t="e">
        <f>'Conta explotación'!AD12*'Datos CE e Socios'!$B$5</f>
        <v>#N/A</v>
      </c>
      <c r="AA15" s="1559" t="e">
        <f>SUM(B15:Z15)</f>
        <v>#N/A</v>
      </c>
    </row>
    <row r="16" spans="1:29" s="13" customFormat="1" ht="29.4" thickBot="1" x14ac:dyDescent="0.35">
      <c r="A16" s="1558" t="str">
        <f>VLOOKUP("Total Gastos Derivados da Pertenza á Iniciativa Enerxética Comunitaria",tabIdiomas26[],MATCH('Indiv. Invoices Comparison'!$J$2,tabIdiomas26[#Headers]),FALSE)</f>
        <v>Total Expenses Deriving From Community Energy Initiative Membership</v>
      </c>
      <c r="B16" s="1819">
        <f t="shared" ref="B16:Z16" si="1">SUM(B13:B15)</f>
        <v>98.818799999999996</v>
      </c>
      <c r="C16" s="1518" t="e">
        <f t="shared" si="1"/>
        <v>#N/A</v>
      </c>
      <c r="D16" s="1518" t="e">
        <f t="shared" si="1"/>
        <v>#N/A</v>
      </c>
      <c r="E16" s="1518" t="e">
        <f t="shared" si="1"/>
        <v>#N/A</v>
      </c>
      <c r="F16" s="1518" t="e">
        <f t="shared" si="1"/>
        <v>#N/A</v>
      </c>
      <c r="G16" s="1518" t="e">
        <f t="shared" si="1"/>
        <v>#N/A</v>
      </c>
      <c r="H16" s="1518" t="e">
        <f t="shared" si="1"/>
        <v>#N/A</v>
      </c>
      <c r="I16" s="1518" t="e">
        <f t="shared" si="1"/>
        <v>#N/A</v>
      </c>
      <c r="J16" s="1518" t="e">
        <f t="shared" si="1"/>
        <v>#N/A</v>
      </c>
      <c r="K16" s="1518" t="e">
        <f t="shared" si="1"/>
        <v>#N/A</v>
      </c>
      <c r="L16" s="1518" t="e">
        <f t="shared" si="1"/>
        <v>#N/A</v>
      </c>
      <c r="M16" s="1518" t="e">
        <f t="shared" si="1"/>
        <v>#N/A</v>
      </c>
      <c r="N16" s="1518" t="e">
        <f t="shared" si="1"/>
        <v>#N/A</v>
      </c>
      <c r="O16" s="1518" t="e">
        <f t="shared" si="1"/>
        <v>#N/A</v>
      </c>
      <c r="P16" s="1518" t="e">
        <f t="shared" si="1"/>
        <v>#N/A</v>
      </c>
      <c r="Q16" s="1518" t="e">
        <f t="shared" si="1"/>
        <v>#N/A</v>
      </c>
      <c r="R16" s="1518" t="e">
        <f t="shared" si="1"/>
        <v>#N/A</v>
      </c>
      <c r="S16" s="1518" t="e">
        <f t="shared" si="1"/>
        <v>#N/A</v>
      </c>
      <c r="T16" s="1518" t="e">
        <f t="shared" si="1"/>
        <v>#N/A</v>
      </c>
      <c r="U16" s="1518" t="e">
        <f t="shared" si="1"/>
        <v>#N/A</v>
      </c>
      <c r="V16" s="1518" t="e">
        <f t="shared" si="1"/>
        <v>#N/A</v>
      </c>
      <c r="W16" s="1518" t="e">
        <f t="shared" si="1"/>
        <v>#N/A</v>
      </c>
      <c r="X16" s="1518" t="e">
        <f t="shared" si="1"/>
        <v>#N/A</v>
      </c>
      <c r="Y16" s="1518" t="e">
        <f t="shared" si="1"/>
        <v>#N/A</v>
      </c>
      <c r="Z16" s="1517" t="e">
        <f t="shared" si="1"/>
        <v>#N/A</v>
      </c>
      <c r="AA16" s="1516" t="e">
        <f>SUM(B16:Z16)</f>
        <v>#N/A</v>
      </c>
    </row>
    <row r="17" spans="1:40" ht="15.6" thickTop="1" thickBot="1" x14ac:dyDescent="0.3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406"/>
    </row>
    <row r="18" spans="1:40" ht="30" thickTop="1" thickBot="1" x14ac:dyDescent="0.35">
      <c r="A18" s="1603" t="str">
        <f>VLOOKUP("Resultado Anual da Participación do Socio Individual na Iniciativa Enerxética Comunitaria",tabIdiomas26[],MATCH('Indiv. Invoices Comparison'!$J$2,tabIdiomas26[#Headers]),FALSE)</f>
        <v>Annual Result of the Membership of the Individual Partner in the Community Energy Initiative</v>
      </c>
      <c r="B18" s="1601">
        <f>B8-B16</f>
        <v>169.14119999999997</v>
      </c>
      <c r="C18" s="1602" t="e">
        <f t="shared" ref="C18:Z18" si="2">C8-C16</f>
        <v>#N/A</v>
      </c>
      <c r="D18" s="1602" t="e">
        <f t="shared" si="2"/>
        <v>#N/A</v>
      </c>
      <c r="E18" s="1602" t="e">
        <f t="shared" si="2"/>
        <v>#N/A</v>
      </c>
      <c r="F18" s="1602" t="e">
        <f t="shared" si="2"/>
        <v>#N/A</v>
      </c>
      <c r="G18" s="1602" t="e">
        <f t="shared" si="2"/>
        <v>#N/A</v>
      </c>
      <c r="H18" s="1602" t="e">
        <f t="shared" si="2"/>
        <v>#N/A</v>
      </c>
      <c r="I18" s="1602" t="e">
        <f t="shared" si="2"/>
        <v>#N/A</v>
      </c>
      <c r="J18" s="1602" t="e">
        <f t="shared" si="2"/>
        <v>#N/A</v>
      </c>
      <c r="K18" s="1602" t="e">
        <f t="shared" si="2"/>
        <v>#N/A</v>
      </c>
      <c r="L18" s="1602" t="e">
        <f t="shared" si="2"/>
        <v>#N/A</v>
      </c>
      <c r="M18" s="1602" t="e">
        <f t="shared" si="2"/>
        <v>#N/A</v>
      </c>
      <c r="N18" s="1602" t="e">
        <f t="shared" si="2"/>
        <v>#N/A</v>
      </c>
      <c r="O18" s="1602" t="e">
        <f t="shared" si="2"/>
        <v>#N/A</v>
      </c>
      <c r="P18" s="1602" t="e">
        <f t="shared" si="2"/>
        <v>#N/A</v>
      </c>
      <c r="Q18" s="1602" t="e">
        <f t="shared" si="2"/>
        <v>#N/A</v>
      </c>
      <c r="R18" s="1602" t="e">
        <f t="shared" si="2"/>
        <v>#N/A</v>
      </c>
      <c r="S18" s="1602" t="e">
        <f t="shared" si="2"/>
        <v>#N/A</v>
      </c>
      <c r="T18" s="1602" t="e">
        <f t="shared" si="2"/>
        <v>#N/A</v>
      </c>
      <c r="U18" s="1602" t="e">
        <f t="shared" si="2"/>
        <v>#N/A</v>
      </c>
      <c r="V18" s="1602" t="e">
        <f t="shared" si="2"/>
        <v>#N/A</v>
      </c>
      <c r="W18" s="1602" t="e">
        <f t="shared" si="2"/>
        <v>#N/A</v>
      </c>
      <c r="X18" s="1602" t="e">
        <f t="shared" si="2"/>
        <v>#N/A</v>
      </c>
      <c r="Y18" s="1602" t="e">
        <f t="shared" si="2"/>
        <v>#N/A</v>
      </c>
      <c r="Z18" s="1601" t="e">
        <f t="shared" si="2"/>
        <v>#N/A</v>
      </c>
      <c r="AA18" s="1600" t="e">
        <f>SUM(B18:Z18)</f>
        <v>#N/A</v>
      </c>
      <c r="AB18" s="641"/>
      <c r="AC18" s="641"/>
      <c r="AD18" s="641"/>
      <c r="AE18" s="641"/>
      <c r="AF18" s="641"/>
      <c r="AG18" s="641"/>
      <c r="AH18" s="641"/>
      <c r="AI18" s="641"/>
      <c r="AJ18" s="641"/>
      <c r="AK18" s="641"/>
      <c r="AL18" s="641"/>
      <c r="AM18" s="641"/>
      <c r="AN18" s="641"/>
    </row>
    <row r="19" spans="1:40" ht="15.6" thickTop="1" thickBot="1" x14ac:dyDescent="0.35">
      <c r="A19" s="1554" t="str">
        <f>VLOOKUP("Valor Actual do Resultado Anual da Participación do Socio",tabIdiomas26[],MATCH('Indiv. Invoices Comparison'!$J$2,tabIdiomas26[#Headers]),FALSE)</f>
        <v>Present Value of the Annual Result of the Partner Membership</v>
      </c>
      <c r="B19" s="1552">
        <f>B18/((1+'Cash Flow Statement'!$AE$8)^(B1))</f>
        <v>163.80921020773809</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40" ht="15" thickTop="1"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40"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40" x14ac:dyDescent="0.3">
      <c r="A22" s="1707" t="str">
        <f>VLOOKUP("Importante:",tabIdiomas26[],MATCH('Indiv. Invoices Comparison'!$J$2,tabIdiomas26[#Headers]),FALSE)</f>
        <v>Important Notice:</v>
      </c>
      <c r="B22" s="225"/>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40" ht="28.8" x14ac:dyDescent="0.3">
      <c r="A23" s="1708"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c r="B23" s="225"/>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40"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40"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40"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40" ht="15.6" hidden="1" thickTop="1" thickBot="1" x14ac:dyDescent="0.35">
      <c r="A27" s="1599" t="str">
        <f>VLOOKUP("Aportación Inicial do Socio á Iniciativa Enerxética Comunitaria",tabIdiomas26[],MATCH('Indiv. Invoices Comparison'!$J$2,tabIdiomas26[#Headers]),FALSE)</f>
        <v>Initial Partner Contribution to the Community Energy Initiative</v>
      </c>
      <c r="B27" s="1598" t="e">
        <f>'Conta Individ. Socio'!B26</f>
        <v>#N/A</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40" hidden="1" x14ac:dyDescent="0.3">
      <c r="A28" s="1597" t="str">
        <f>VLOOKUP("Valor Actual Neto dos Fluxos Positivos de Valor Económico",tabIdiomas26[],MATCH('Indiv. Invoices Comparison'!$J$2,tabIdiomas26[#Headers]),FALSE)</f>
        <v>Net Present Value of the Positive Flows of Economic Value</v>
      </c>
      <c r="B28" s="1709" t="e">
        <f>'Conta Individ. Socio'!B27</f>
        <v>#N/A</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40" ht="15" hidden="1" thickBot="1" x14ac:dyDescent="0.35">
      <c r="A29" s="1596" t="str">
        <f>VLOOKUP("Valor Actual Neto dos Fluxos de Valor Económico Esperados",tabIdiomas26[],MATCH('Indiv. Invoices Comparison'!$J$2,tabIdiomas26[#Headers]),FALSE)</f>
        <v>Net Present Value of the Expected Flows of Economic Value</v>
      </c>
      <c r="B29" s="1710" t="e">
        <f>'Conta Individ. Socio'!B28</f>
        <v>#N/A</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40" hidden="1" x14ac:dyDescent="0.3">
      <c r="A30" s="1595" t="str">
        <f>VLOOKUP("TIR do Socio Individual (%)",tabIdiomas26[],MATCH('Indiv. Invoices Comparison'!$J$2,tabIdiomas26[#Headers]),FALSE)</f>
        <v>Individual Partner IRR (%)</v>
      </c>
      <c r="B30" s="1711" t="e">
        <f>'Conta Individ. Socio'!B29</f>
        <v>#VALUE!</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40" ht="15" hidden="1" thickBot="1" x14ac:dyDescent="0.35">
      <c r="A31" s="1594" t="str">
        <f>VLOOKUP("TIR Modificada do Socio Individual (%)",tabIdiomas26[],MATCH('Indiv. Invoices Comparison'!$J$2,tabIdiomas26[#Headers]),FALSE)</f>
        <v>Individual Partner Modified IRR (%)</v>
      </c>
      <c r="B31" s="1712" t="e">
        <f>'Conta Individ. Socio'!B30</f>
        <v>#N/A</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40" ht="15.6" hidden="1" thickTop="1" thickBot="1" x14ac:dyDescent="0.3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5.6" hidden="1" thickTop="1" thickBot="1" x14ac:dyDescent="0.35">
      <c r="A33" s="1713" t="str">
        <f>VLOOKUP("Período de Recuperación do Investimento (Anos)",tabIdiomas26[],MATCH('Indiv. Invoices Comparison'!$J$2,tabIdiomas26[#Headers]),FALSE)</f>
        <v>Payback Period (Years)</v>
      </c>
      <c r="B33" s="1714" t="e">
        <f>'Conta Individ. Socio'!$B$33</f>
        <v>#N/A</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5" hidden="1" thickTop="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idden="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sheetData>
  <sheetProtection algorithmName="SHA-512" hashValue="oYbd0ASVQ52YxOt0mwUQtDV5atAvFVjjW3gmXlrLLFB/etO1Rar99iD0HDEyjdZCIPQFSjpdUqciPcOdMGqxzQ==" saltValue="ZV33A3WH+Wjlk6cpMBtYkg==" spinCount="100000" sheet="1" objects="1" scenarios="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4AA-0E9F-418E-9CDD-68288BD15065}">
  <sheetPr>
    <tabColor rgb="FFA365D1"/>
  </sheetPr>
  <dimension ref="A1:J41"/>
  <sheetViews>
    <sheetView workbookViewId="0">
      <selection sqref="A1:C18"/>
    </sheetView>
  </sheetViews>
  <sheetFormatPr baseColWidth="10" defaultColWidth="11.5546875" defaultRowHeight="14.4" x14ac:dyDescent="0.3"/>
  <cols>
    <col min="1" max="1" width="59.5546875" customWidth="1"/>
    <col min="2" max="2" width="37" bestFit="1" customWidth="1"/>
    <col min="3" max="3" width="36.6640625" customWidth="1"/>
    <col min="4" max="4" width="14.44140625" customWidth="1"/>
    <col min="5" max="5" width="28.6640625" customWidth="1"/>
    <col min="6" max="6" width="21.77734375" hidden="1" customWidth="1"/>
    <col min="9" max="10" width="0" hidden="1" customWidth="1"/>
  </cols>
  <sheetData>
    <row r="1" spans="1:10" ht="15" thickBot="1" x14ac:dyDescent="0.35">
      <c r="A1" s="1639" t="str">
        <f>VLOOKUP("Concepto Faturado",tabIdiomas26[],MATCH($J$2,tabIdiomas26[#Headers]),FALSE)</f>
        <v>Invoiced Concept</v>
      </c>
      <c r="B1" s="1639" t="str">
        <f>VLOOKUP("Sen CE (€)",tabIdiomas26[],MATCH($J$2,tabIdiomas26[#Headers]),FALSE)</f>
        <v>Without a Community Energy Initiative (€)</v>
      </c>
      <c r="C1" s="1336" t="str">
        <f>VLOOKUP("Con CE (€)",tabIdiomas26[],MATCH($J$2,tabIdiomas26[#Headers]),FALSE)</f>
        <v>With a Community Energy Initiative (€)</v>
      </c>
      <c r="D1" s="1639" t="str">
        <f>VLOOKUP("Diferencia",tabIdiomas26[],MATCH($J$2,tabIdiomas26[#Headers]),FALSE)</f>
        <v>Difference</v>
      </c>
      <c r="E1" s="1625" t="str">
        <f>VLOOKUP("Dif. En %",tabIdiomas26[],MATCH($J$2,tabIdiomas26[#Headers]),FALSE)</f>
        <v>Difference (%)</v>
      </c>
    </row>
    <row r="2" spans="1:10" ht="15.6" thickTop="1" thickBot="1" x14ac:dyDescent="0.35">
      <c r="A2" t="str">
        <f>VLOOKUP("Termo de Potencia (P1)",tabIdiomas26[],MATCH($J$2,tabIdiomas26[#Headers]),FALSE)</f>
        <v>Power Term (Peak Period, Period 1)</v>
      </c>
      <c r="B2" s="145">
        <f>'Simulac. Factura Indiv. Sen CE'!D2</f>
        <v>10.037500000000001</v>
      </c>
      <c r="C2" s="145">
        <f>'Simulac. Factura Indiv. Con CE'!D2</f>
        <v>10.037500000000001</v>
      </c>
      <c r="D2" s="1236">
        <f>C2-B2</f>
        <v>0</v>
      </c>
      <c r="E2" s="1638">
        <f>D2/B2</f>
        <v>0</v>
      </c>
      <c r="I2" s="229" t="str">
        <f>VLOOKUP("Lingua",tabIdiomas26[],MATCH($J$2,tabIdiomas26[#Headers]),FALSE)</f>
        <v>Language</v>
      </c>
      <c r="J2" s="230" t="str">
        <f>'Operating Account'!$G$2</f>
        <v>English</v>
      </c>
    </row>
    <row r="3" spans="1:10" ht="15" thickTop="1" x14ac:dyDescent="0.3">
      <c r="A3" t="str">
        <f>VLOOKUP("Termo de Potencia (P2)",tabIdiomas26[],MATCH($J$2,tabIdiomas26[#Headers]),FALSE)</f>
        <v>Power Term (Valley Period, Period 2)</v>
      </c>
      <c r="B3" s="145">
        <f>'Simulac. Factura Indiv. Sen CE'!D3</f>
        <v>3.01125</v>
      </c>
      <c r="C3" s="145">
        <f>'Simulac. Factura Indiv. Con CE'!D3</f>
        <v>3.01125</v>
      </c>
      <c r="D3" s="1236">
        <f>C3-B3</f>
        <v>0</v>
      </c>
      <c r="E3" s="1638">
        <f>D3/B3</f>
        <v>0</v>
      </c>
    </row>
    <row r="4" spans="1:10" x14ac:dyDescent="0.3">
      <c r="A4" t="str">
        <f>VLOOKUP("Termo de Enerxía (Consumo)",tabIdiomas26[],MATCH($J$2,tabIdiomas26[#Headers]),FALSE)</f>
        <v>Energy Term (Consumption)</v>
      </c>
      <c r="B4" s="145">
        <f>'Simulac. Factura Indiv. Sen CE'!D4</f>
        <v>29.441000000000003</v>
      </c>
      <c r="C4" s="145">
        <f>'Simulac. Factura Indiv. Con CE'!D4</f>
        <v>14.720500000000001</v>
      </c>
      <c r="D4" s="1236">
        <f>C4-B4</f>
        <v>-14.720500000000001</v>
      </c>
      <c r="E4" s="1638">
        <f>D4/B4</f>
        <v>-0.5</v>
      </c>
    </row>
    <row r="5" spans="1:10" ht="15" thickBot="1" x14ac:dyDescent="0.35">
      <c r="A5" t="str">
        <f>VLOOKUP("Financiación Bono Social",tabIdiomas26[],MATCH($J$2,tabIdiomas26[#Headers]),FALSE)</f>
        <v>Social Bonus Financing</v>
      </c>
      <c r="B5" s="145">
        <f>'Simulac. Factura Indiv. Sen CE'!D5</f>
        <v>1.1696729166666668</v>
      </c>
      <c r="C5" s="145">
        <f>'Simulac. Factura Indiv. Con CE'!D5</f>
        <v>1.1696729166666668</v>
      </c>
      <c r="D5" s="1236">
        <f>C5-B5</f>
        <v>0</v>
      </c>
      <c r="E5" s="1638">
        <f>D5/B5</f>
        <v>0</v>
      </c>
    </row>
    <row r="6" spans="1:10" ht="15" thickBot="1" x14ac:dyDescent="0.35">
      <c r="A6" s="1156" t="str">
        <f>VLOOKUP("Subtotal (Suma dos Conceptos Previos)",tabIdiomas26[],MATCH($J$2,tabIdiomas26[#Headers]),FALSE)</f>
        <v>Subtotal (Sum of Previous Concepts)</v>
      </c>
      <c r="B6" s="1231">
        <f>SUM(B2:B5)</f>
        <v>43.659422916666671</v>
      </c>
      <c r="C6" s="1234">
        <f>SUM(C2:C5)</f>
        <v>28.938922916666669</v>
      </c>
      <c r="D6" s="1231">
        <f>C6-B6</f>
        <v>-14.720500000000001</v>
      </c>
      <c r="E6" s="1636">
        <f>D6/B6</f>
        <v>-0.33716661871819098</v>
      </c>
    </row>
    <row r="7" spans="1:10" x14ac:dyDescent="0.3">
      <c r="E7" s="1634"/>
    </row>
    <row r="8" spans="1:10" x14ac:dyDescent="0.3">
      <c r="A8" t="str">
        <f>VLOOKUP("Imposto sobre a Electricidade (Tipo Reducido Temporalmente)",tabIdiomas26[],MATCH($J$2,tabIdiomas26[#Headers]),FALSE)</f>
        <v>Electricity Special Tax (Temporary Reduced Tax Rate) (%)</v>
      </c>
      <c r="B8" s="145">
        <f>'Simulac. Factura Indiv. Sen CE'!D8</f>
        <v>0.21829711458333337</v>
      </c>
      <c r="C8" s="145">
        <f>'Simulac. Factura Indiv. Con CE'!D12</f>
        <v>0.14469461458333335</v>
      </c>
      <c r="D8" s="145">
        <f>C8-B8</f>
        <v>-7.3602500000000015E-2</v>
      </c>
      <c r="E8" s="1637">
        <f>D8/B8</f>
        <v>-0.33716661871819098</v>
      </c>
    </row>
    <row r="9" spans="1:10" x14ac:dyDescent="0.3">
      <c r="D9" s="145"/>
      <c r="E9" s="1637"/>
    </row>
    <row r="10" spans="1:10" x14ac:dyDescent="0.3">
      <c r="A10" t="str">
        <f>VLOOKUP("Aluguer do contador",tabIdiomas26[],MATCH($J$2,tabIdiomas26[#Headers]),FALSE)</f>
        <v>Electricity Meter Rental</v>
      </c>
      <c r="B10" s="145">
        <f>'Simulac. Factura Indiv. Sen CE'!D10</f>
        <v>0.81474083333333336</v>
      </c>
      <c r="C10" s="145">
        <f>'Simulac. Factura Indiv. Con CE'!D14</f>
        <v>0.81474083333333336</v>
      </c>
      <c r="D10" s="145">
        <f>C10-B10</f>
        <v>0</v>
      </c>
      <c r="E10" s="1637">
        <f>D10/B10</f>
        <v>0</v>
      </c>
    </row>
    <row r="11" spans="1:10" ht="15" thickBot="1" x14ac:dyDescent="0.35">
      <c r="E11" s="1634"/>
    </row>
    <row r="12" spans="1:10" ht="15" thickBot="1" x14ac:dyDescent="0.35">
      <c r="A12" s="1156" t="str">
        <f>VLOOKUP("Base Impoñible do IVE (Suma dos Conceptos Previos)",tabIdiomas26[],MATCH($J$2,tabIdiomas26[#Headers]),FALSE)</f>
        <v>VAT Tax Base (Sum of Previous Concepts)</v>
      </c>
      <c r="B12" s="1231">
        <f>B6+B8+B10</f>
        <v>44.692460864583339</v>
      </c>
      <c r="C12" s="950">
        <f>C6+C8+C10</f>
        <v>29.898358364583334</v>
      </c>
      <c r="D12" s="1233">
        <f>C12-B12</f>
        <v>-14.794102500000005</v>
      </c>
      <c r="E12" s="1636">
        <f>D12/B12</f>
        <v>-0.33102009184111925</v>
      </c>
    </row>
    <row r="13" spans="1:10" x14ac:dyDescent="0.3">
      <c r="E13" s="1634"/>
    </row>
    <row r="14" spans="1:10" x14ac:dyDescent="0.3">
      <c r="A14" t="str">
        <f>VLOOKUP("IVE (Tipo Reducido Temporalmente)",tabIdiomas26[],MATCH($J$2,tabIdiomas26[#Headers]),FALSE)</f>
        <v>VAT (Temporary Reduced Tax Rate)</v>
      </c>
      <c r="B14" s="145">
        <f>'Simulac. Factura Indiv. Sen CE'!D14</f>
        <v>9.3854167815625011</v>
      </c>
      <c r="C14" s="145">
        <f>'Simulac. Factura Indiv. Con CE'!D19</f>
        <v>6.2786552565624998</v>
      </c>
      <c r="D14" s="145">
        <f>C14-B14</f>
        <v>-3.1067615250000014</v>
      </c>
      <c r="E14" s="1635">
        <f>D14/B14</f>
        <v>-0.3310200918411193</v>
      </c>
    </row>
    <row r="15" spans="1:10" ht="15" thickBot="1" x14ac:dyDescent="0.35">
      <c r="E15" s="1634"/>
    </row>
    <row r="16" spans="1:10" ht="15" thickBot="1" x14ac:dyDescent="0.35">
      <c r="A16" s="663" t="str">
        <f>VLOOKUP("IMPORTE TOTAL DA FATURA (Base Impoñible + Cota de IVE)",tabIdiomas26[],MATCH($J$2,tabIdiomas26[#Headers]),FALSE)</f>
        <v>Total Invoice Amount (VAT Tax Base + VAT Ammount Payable)</v>
      </c>
      <c r="B16" s="1231">
        <f>'Simulac. Factura Indiv. Sen CE'!D16</f>
        <v>54.077877646145836</v>
      </c>
      <c r="C16" s="950">
        <f>'Simulac. Factura Indiv. Con CE'!D21</f>
        <v>36.177013621145832</v>
      </c>
      <c r="D16" s="1030">
        <f>C16-B16</f>
        <v>-17.900864025000004</v>
      </c>
      <c r="E16" s="1633">
        <f>D16/B16</f>
        <v>-0.33102009184111925</v>
      </c>
    </row>
    <row r="18" spans="1:8" ht="15" thickBot="1" x14ac:dyDescent="0.35"/>
    <row r="19" spans="1:8" ht="29.4" thickBot="1" x14ac:dyDescent="0.35">
      <c r="A19" s="1229" t="str">
        <f>VLOOKUP("Compensacións",tabIdiomas26[],MATCH($J$2,tabIdiomas26[#Headers]),FALSE)</f>
        <v>Energy Compensations</v>
      </c>
      <c r="B19" s="1190" t="str">
        <f>VLOOKUP("Sen CE (€)",tabIdiomas26[],MATCH($J$2,tabIdiomas26[#Headers]),FALSE)</f>
        <v>Without a Community Energy Initiative (€)</v>
      </c>
      <c r="C19" s="1336" t="str">
        <f>VLOOKUP("Con CE (€)",tabIdiomas26[],MATCH($J$2,tabIdiomas26[#Headers]),FALSE)</f>
        <v>With a Community Energy Initiative (€)</v>
      </c>
      <c r="D19" s="1624" t="str">
        <f>VLOOKUP("Diferencia",tabIdiomas26[],MATCH($J$2,tabIdiomas26[#Headers]),FALSE)</f>
        <v>Difference</v>
      </c>
      <c r="E19" s="1623" t="str">
        <f>VLOOKUP("Dif. % s/Fra. Inicial",tabIdiomas26[],MATCH($J$2,tabIdiomas26[#Headers]),FALSE)</f>
        <v>Difference as a Proporcion On Initial Invoice Total Amount (%)</v>
      </c>
      <c r="F19" s="1622" t="s">
        <v>1122</v>
      </c>
    </row>
    <row r="20" spans="1:8" ht="28.8" x14ac:dyDescent="0.3">
      <c r="A20" s="1222" t="str">
        <f>VLOOKUP("Valor da Enerxía Suxeita a Compensación Transmitida á Comercializadora",tabIdiomas26[],MATCH($J$2,tabIdiomas26[#Headers]),FALSE)</f>
        <v>Value of the Energy Subject to Compensation Transmitted to the Energy Marketer</v>
      </c>
      <c r="B20" s="1227">
        <v>0</v>
      </c>
      <c r="C20" s="1226">
        <f>'Simulac. Factura Indiv. Con CE'!D25</f>
        <v>7.3602500000000006</v>
      </c>
      <c r="D20" s="1621">
        <f>C20-B20</f>
        <v>7.3602500000000006</v>
      </c>
      <c r="E20" s="1620">
        <f>D20/B16</f>
        <v>0.13610463872419687</v>
      </c>
      <c r="F20" s="1632">
        <f>D20/$C$16</f>
        <v>0.20345101110551203</v>
      </c>
    </row>
    <row r="21" spans="1:8" ht="15" thickBot="1" x14ac:dyDescent="0.35">
      <c r="A21" s="1631" t="str">
        <f>VLOOKUP("Valor da Enerxía Vendida Transmitida á Comercializadora",tabIdiomas26[],MATCH($J$2,tabIdiomas26[#Headers]),FALSE)</f>
        <v>Value of the Energy Sold Transmitted to the Energy Marketer</v>
      </c>
      <c r="B21" s="1630">
        <v>0</v>
      </c>
      <c r="C21" s="1220">
        <f>'Simulac. Factura Indiv. Con CE'!D26</f>
        <v>0</v>
      </c>
      <c r="D21" s="1352">
        <f>C21-B21</f>
        <v>0</v>
      </c>
      <c r="E21" s="1629">
        <f>D21/B16</f>
        <v>0</v>
      </c>
      <c r="F21" s="1615">
        <f>D21/$C$16</f>
        <v>0</v>
      </c>
    </row>
    <row r="22" spans="1:8" ht="29.4" thickBot="1" x14ac:dyDescent="0.35">
      <c r="A22" s="887" t="str">
        <f>VLOOKUP("Importe a Aboar ao Prosumidor por Compensación ou Venda",tabIdiomas26[],MATCH($J$2,tabIdiomas26[#Headers]),FALSE)</f>
        <v>Amount to Pay to the Prosumer for the Energy Compensation or the Energy Sale</v>
      </c>
      <c r="B22" s="1628">
        <f>SUM(B20:B21)</f>
        <v>0</v>
      </c>
      <c r="C22" s="619">
        <f>SUM(C20:C21)</f>
        <v>7.3602500000000006</v>
      </c>
      <c r="D22" s="1627">
        <f>C22-B22</f>
        <v>7.3602500000000006</v>
      </c>
      <c r="E22" s="1626">
        <f>D22/B16</f>
        <v>0.13610463872419687</v>
      </c>
      <c r="F22" s="1611">
        <f>D22/$C$16</f>
        <v>0.20345101110551203</v>
      </c>
    </row>
    <row r="23" spans="1:8" ht="15" thickBot="1" x14ac:dyDescent="0.35"/>
    <row r="24" spans="1:8" ht="29.4" thickBot="1" x14ac:dyDescent="0.35">
      <c r="B24" s="1190" t="str">
        <f>VLOOKUP("Sen CE (€)",tabIdiomas26[],MATCH($J$2,tabIdiomas26[#Headers]),FALSE)</f>
        <v>Without a Community Energy Initiative (€)</v>
      </c>
      <c r="C24" s="1625" t="str">
        <f>VLOOKUP("Con CE (€)",tabIdiomas26[],MATCH($J$2,tabIdiomas26[#Headers]),FALSE)</f>
        <v>With a Community Energy Initiative (€)</v>
      </c>
      <c r="D24" s="1624" t="str">
        <f>VLOOKUP("Diferencia",tabIdiomas26[],MATCH($J$2,tabIdiomas26[#Headers]),FALSE)</f>
        <v>Difference</v>
      </c>
      <c r="E24" s="1623" t="str">
        <f>VLOOKUP("Dif. % s/Fra. Inicial",tabIdiomas26[],MATCH($J$2,tabIdiomas26[#Headers]),FALSE)</f>
        <v>Difference as a Proporcion On Initial Invoice Total Amount (%)</v>
      </c>
      <c r="F24" s="1622" t="s">
        <v>1122</v>
      </c>
    </row>
    <row r="25" spans="1:8" ht="29.4" thickBot="1" x14ac:dyDescent="0.35">
      <c r="A25" s="1398" t="str">
        <f>VLOOKUP("Novo Importe A Pagar (Importe Factura - Importe a Aboar)",tabIdiomas26[],MATCH($J$2,tabIdiomas26[#Headers]),FALSE)</f>
        <v>New Amount to Pay (Invoice Amount - Energy Compensation or Sale Amount)</v>
      </c>
      <c r="B25" s="1225">
        <f>$B$16</f>
        <v>54.077877646145836</v>
      </c>
      <c r="C25" s="1413">
        <f>'Simulac. Factura Indiv. Con CE'!D30</f>
        <v>28.816763621145832</v>
      </c>
      <c r="D25" s="1621">
        <f>C25-B25</f>
        <v>-25.261114025000005</v>
      </c>
      <c r="E25" s="1620">
        <f>D25/$B$16</f>
        <v>-0.46712473056531612</v>
      </c>
      <c r="F25" s="1619">
        <f>D25/$C$16</f>
        <v>-0.69826421521522786</v>
      </c>
    </row>
    <row r="26" spans="1:8" ht="15" thickBot="1" x14ac:dyDescent="0.35">
      <c r="A26" s="1618" t="str">
        <f>VLOOKUP("Exceso do Importe a Aboar sobre o Importe da Factura",tabIdiomas26[],MATCH($J$2,tabIdiomas26[#Headers]),FALSE)</f>
        <v>Excess of the Amount to Pay over the Invoice Amount</v>
      </c>
      <c r="B26" s="1202">
        <v>0</v>
      </c>
      <c r="C26" s="649">
        <f>MAX(0,(C22-C16))</f>
        <v>0</v>
      </c>
      <c r="D26" s="1617">
        <f>C26-B26</f>
        <v>0</v>
      </c>
      <c r="E26" s="1616">
        <f>D26/$B$16</f>
        <v>0</v>
      </c>
      <c r="F26" s="1615">
        <f>D26/C16</f>
        <v>0</v>
      </c>
    </row>
    <row r="27" spans="1:8" ht="16.8" thickBot="1" x14ac:dyDescent="0.5">
      <c r="A27" s="1610" t="str">
        <f>VLOOKUP("Efecto Económico Positivo Total para o Socio",tabIdiomas26[],MATCH($J$2,tabIdiomas26[#Headers]),FALSE)</f>
        <v>Total Positive Economic Effect for the Partner</v>
      </c>
      <c r="B27" s="1198"/>
      <c r="C27" s="1614"/>
      <c r="D27" s="1613">
        <f>-D25+D26</f>
        <v>25.261114025000005</v>
      </c>
      <c r="E27" s="1612">
        <f>D27/$B$16</f>
        <v>0.46712473056531612</v>
      </c>
      <c r="F27" s="1611">
        <f>D27/$C$16</f>
        <v>0.69826421521522786</v>
      </c>
      <c r="H27" s="38"/>
    </row>
    <row r="31" spans="1:8" x14ac:dyDescent="0.3">
      <c r="A31" s="147" t="str">
        <f>VLOOKUP("Determinación do Efecto Económico Neto para o Socio da súa Pertenza á Iniciativa Enerxética Comunitaria",tabIdiomas26[],MATCH($J$2,tabIdiomas26[#Headers]),FALSE)</f>
        <v>Determination of the Net Economic Effect for the Partner of Membership in the Community Energy Initiative</v>
      </c>
    </row>
    <row r="32" spans="1:8" ht="15" thickBot="1" x14ac:dyDescent="0.35"/>
    <row r="33" spans="1:3" ht="15" thickBot="1" x14ac:dyDescent="0.35">
      <c r="A33" s="1193" t="str">
        <f>VLOOKUP("(Considérase un mes tipo, para un consumidor tipo)",tabIdiomas26[],MATCH($J$2,tabIdiomas26[#Headers]),FALSE)</f>
        <v>(A typical month and a typical consumer are considered)</v>
      </c>
    </row>
    <row r="34" spans="1:3" ht="15" thickBot="1" x14ac:dyDescent="0.35">
      <c r="A34" s="1192" t="str">
        <f>VLOOKUP("Consumo Mensual do Consumidor Tipo (KWh/Mes)",tabIdiomas26[],MATCH($J$2,tabIdiomas26[#Headers]),FALSE)</f>
        <v>Monthly Consumption of the Typical Consumer (KWh/Month)</v>
      </c>
      <c r="B34" s="1191">
        <f>'General Real Data (Obs.)'!$E$223/12</f>
        <v>294.41000000000003</v>
      </c>
    </row>
    <row r="35" spans="1:3" ht="15" thickBot="1" x14ac:dyDescent="0.35"/>
    <row r="36" spans="1:3" ht="15" thickBot="1" x14ac:dyDescent="0.35">
      <c r="B36" s="1190" t="str">
        <f>VLOOKUP("Mensual",tabIdiomas26[],MATCH($J$2,tabIdiomas26[#Headers]),FALSE)</f>
        <v>Monthly</v>
      </c>
      <c r="C36" s="809" t="str">
        <f>VLOOKUP("Anual",tabIdiomas26[],MATCH($J$2,tabIdiomas26[#Headers]),FALSE)</f>
        <v>Annual</v>
      </c>
    </row>
    <row r="37" spans="1:3" ht="43.2" x14ac:dyDescent="0.3">
      <c r="A37" s="1145" t="str">
        <f>VLOOKUP("(+) Efecto Económico Positivo Total para o Socio (Menor Importe a Pagar en Factura + Importe Obtido pola Enerxía Destinada á Compensación ou Venda)",tabIdiomas26[],MATCH($J$2,tabIdiomas26[#Headers]),FALSE)</f>
        <v>(+) Total Positive Economic Effect for the Partner (Lower Invoice Amount to Pay + Positive Amount Obtained for the Energy Subject to Compensation or Sold)</v>
      </c>
      <c r="B37" s="1189">
        <f>$D$27</f>
        <v>25.261114025000005</v>
      </c>
      <c r="C37" s="1188">
        <f>B37*12</f>
        <v>303.13336830000003</v>
      </c>
    </row>
    <row r="38" spans="1:3" ht="28.8" x14ac:dyDescent="0.3">
      <c r="A38" s="1187" t="str">
        <f>VLOOKUP("(-) Efecto Económico Negativo Total para o Socio (Cotas Pagadas á Entidade)",tabIdiomas26[],MATCH($J$2,tabIdiomas26[#Headers]),FALSE)</f>
        <v>(-) Total Negative Economic Effect for the Partner (Fees Paid to the Entity)</v>
      </c>
      <c r="B38" s="1068">
        <f>(('General Real Data (Obs.)'!E10+'General Real Data (Obs.)'!E11)/'General Real Data (Obs.)'!E222)/12</f>
        <v>8.2348999999999997</v>
      </c>
      <c r="C38" s="892">
        <f>B38*12</f>
        <v>98.818799999999996</v>
      </c>
    </row>
    <row r="39" spans="1:3" ht="15" thickBot="1" x14ac:dyDescent="0.35">
      <c r="A39" s="1186" t="str">
        <f>VLOOKUP("(=) Efecto Económico Neto Total para o Socio (Positivo - Negativo)",tabIdiomas26[],MATCH($J$2,tabIdiomas26[#Headers]),FALSE)</f>
        <v>(=) Total Net Economic Effect for the Partner (Positive - Negative)</v>
      </c>
      <c r="B39" s="1185">
        <f>B37-B38</f>
        <v>17.026214025000005</v>
      </c>
      <c r="C39" s="942">
        <f>C37-C38</f>
        <v>204.31456830000002</v>
      </c>
    </row>
    <row r="40" spans="1:3" ht="15" thickBot="1" x14ac:dyDescent="0.35"/>
    <row r="41" spans="1:3" ht="29.4" thickBot="1" x14ac:dyDescent="0.35">
      <c r="A41" s="1610" t="str">
        <f>VLOOKUP("Efecto Económico Neto Total (% s/ Importe da súa Factura Orixinal)",tabIdiomas26[],MATCH($J$2,tabIdiomas26[#Headers]),FALSE)</f>
        <v>Total Net Economic Effect (% On the Partner Original Invoice Amount)</v>
      </c>
      <c r="B41" s="1609">
        <f>B39/'Simulac. Factura Indiv. Sen CE'!$D$16</f>
        <v>0.31484619526693786</v>
      </c>
    </row>
  </sheetData>
  <sheetProtection algorithmName="SHA-512" hashValue="JnV/1KB7HlDodnQf7XLgTFl6kh2SeCYP8wRW2jnetrY1/varEBvvLUxexNUSoeuyfd7T/ZHZ5gS9uEJ1N2I8xg==" saltValue="lfp9/x/e+azJQ0QRqwZwWA==" spinCount="100000" sheet="1" objects="1" scenarios="1"/>
  <dataValidations count="1">
    <dataValidation type="list" allowBlank="1" showDropDown="1" showInputMessage="1" showErrorMessage="1" sqref="J2" xr:uid="{129F430C-EB77-4B97-AE6E-3EE0C1EE8010}">
      <formula1>ListadoIdiomasR</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FA5B-2064-4156-8DE2-928435E15325}">
  <sheetPr>
    <tabColor rgb="FF261036"/>
  </sheetPr>
  <dimension ref="A1:AA19"/>
  <sheetViews>
    <sheetView tabSelected="1" workbookViewId="0">
      <selection sqref="A1:F14"/>
    </sheetView>
  </sheetViews>
  <sheetFormatPr baseColWidth="10" defaultColWidth="11.5546875" defaultRowHeight="14.4" x14ac:dyDescent="0.3"/>
  <cols>
    <col min="1" max="1" width="43.6640625" customWidth="1"/>
    <col min="27" max="27" width="19.5546875" customWidth="1"/>
  </cols>
  <sheetData>
    <row r="1" spans="1:27" ht="30" thickTop="1" thickBot="1" x14ac:dyDescent="0.35">
      <c r="A1" s="1667" t="str">
        <f>VLOOKUP("ID. de Socio",tabIdiomas26[],MATCH('Indiv. Invoices Comparison'!$J$2,tabIdiomas26[#Headers]),FALSE)</f>
        <v>Partner ID Number</v>
      </c>
      <c r="B1" s="1666">
        <v>1</v>
      </c>
      <c r="C1" s="1666">
        <v>2</v>
      </c>
      <c r="D1" s="1666">
        <v>3</v>
      </c>
      <c r="E1" s="1666">
        <v>4</v>
      </c>
      <c r="F1" s="1666">
        <v>5</v>
      </c>
      <c r="G1" s="1666">
        <v>6</v>
      </c>
      <c r="H1" s="1666">
        <v>7</v>
      </c>
      <c r="I1" s="1666">
        <v>8</v>
      </c>
      <c r="J1" s="1666">
        <v>9</v>
      </c>
      <c r="K1" s="1666">
        <v>10</v>
      </c>
      <c r="L1" s="1666">
        <v>11</v>
      </c>
      <c r="M1" s="1666">
        <v>12</v>
      </c>
      <c r="N1" s="1666">
        <v>13</v>
      </c>
      <c r="O1" s="1666">
        <v>14</v>
      </c>
      <c r="P1" s="1666">
        <v>15</v>
      </c>
      <c r="Q1" s="1666">
        <v>16</v>
      </c>
      <c r="R1" s="1666">
        <v>17</v>
      </c>
      <c r="S1" s="1666">
        <v>18</v>
      </c>
      <c r="T1" s="1666">
        <v>19</v>
      </c>
      <c r="U1" s="1666">
        <v>20</v>
      </c>
      <c r="V1" s="1666">
        <v>21</v>
      </c>
      <c r="W1" s="1666">
        <v>22</v>
      </c>
      <c r="X1" s="1666">
        <v>23</v>
      </c>
      <c r="Y1" s="1666">
        <v>24</v>
      </c>
      <c r="Z1" s="1665">
        <v>25</v>
      </c>
      <c r="AA1" s="1503" t="str">
        <f>VLOOKUP("Conxunto Completo dos Socios",tabIdiomas26[],MATCH('Indiv. Invoices Comparison'!$J$2,tabIdiomas26[#Headers]),FALSE)</f>
        <v>Complete Set of Partners</v>
      </c>
    </row>
    <row r="2" spans="1:27" ht="15" thickBot="1" x14ac:dyDescent="0.35">
      <c r="A2" s="1664" t="str">
        <f>VLOOKUP("Concepto",tabIdiomas26[],MATCH('Indiv. Invoices Comparison'!$J$2,tabIdiomas26[#Headers]),FALSE)</f>
        <v>Concept</v>
      </c>
      <c r="B2" s="641"/>
      <c r="C2" s="641"/>
      <c r="D2" s="641"/>
      <c r="E2" s="641"/>
      <c r="F2" s="641"/>
      <c r="G2" s="641"/>
      <c r="H2" s="641"/>
      <c r="I2" s="641"/>
      <c r="J2" s="641"/>
      <c r="K2" s="641"/>
      <c r="L2" s="641"/>
      <c r="M2" s="641"/>
      <c r="N2" s="641"/>
      <c r="O2" s="641"/>
      <c r="P2" s="641"/>
      <c r="Q2" s="641"/>
      <c r="R2" s="641"/>
      <c r="S2" s="641"/>
      <c r="T2" s="641"/>
      <c r="U2" s="641"/>
      <c r="V2" s="641"/>
      <c r="W2" s="641"/>
      <c r="X2" s="641"/>
      <c r="Y2" s="641"/>
      <c r="Z2" s="1663"/>
      <c r="AA2" s="1662"/>
    </row>
    <row r="3" spans="1:27" ht="16.8" thickBot="1" x14ac:dyDescent="0.35">
      <c r="A3" s="1661" t="str">
        <f>VLOOKUP("Impacto Económico Positivo Total (Mensual)",tabIdiomas26[],MATCH('Indiv. Invoices Comparison'!$J$2,tabIdiomas26[#Headers]),FALSE)</f>
        <v>Total Positive Economic Impact (Monthly)</v>
      </c>
      <c r="B3" s="1575">
        <f>'Ingresos Socios (2)'!B9</f>
        <v>42.987052500000019</v>
      </c>
      <c r="C3" s="1574">
        <f>'Ingresos Socios (2)'!C9</f>
        <v>25.225935000000007</v>
      </c>
      <c r="D3" s="1574">
        <f>'Ingresos Socios (2)'!D9</f>
        <v>10.811114999999999</v>
      </c>
      <c r="E3" s="1574">
        <f>'Ingresos Socios (2)'!E9</f>
        <v>44.788904999999986</v>
      </c>
      <c r="F3" s="1574">
        <f>'Ingresos Socios (2)'!F9</f>
        <v>9.3524725000000029</v>
      </c>
      <c r="G3" s="1574">
        <f>'Ingresos Socios (2)'!G9</f>
        <v>22.823465000000006</v>
      </c>
      <c r="H3" s="1574">
        <f>'Ingresos Socios (2)'!H9</f>
        <v>39.554952500000006</v>
      </c>
      <c r="I3" s="1574">
        <f>'Ingresos Socios (2)'!I9</f>
        <v>16.7314875</v>
      </c>
      <c r="J3" s="1574">
        <f>'Ingresos Socios (2)'!J9</f>
        <v>12.183955000000001</v>
      </c>
      <c r="K3" s="1574">
        <f>'Ingresos Socios (2)'!K9</f>
        <v>12.012349999999998</v>
      </c>
      <c r="L3" s="1574">
        <f>'Ingresos Socios (2)'!L9</f>
        <v>22.651860000000006</v>
      </c>
      <c r="M3" s="1574">
        <f>'Ingresos Socios (2)'!M9</f>
        <v>35.951247500000008</v>
      </c>
      <c r="N3" s="1574">
        <f>'Ingresos Socios (2)'!N9</f>
        <v>38.096309999999995</v>
      </c>
      <c r="O3" s="1574">
        <f>'Ingresos Socios (2)'!O9</f>
        <v>10.210497500000004</v>
      </c>
      <c r="P3" s="1574">
        <f>'Ingresos Socios (2)'!P9</f>
        <v>36.809272500000006</v>
      </c>
      <c r="Q3" s="1574">
        <f>'Ingresos Socios (2)'!Q9</f>
        <v>7.5506199999999994</v>
      </c>
      <c r="R3" s="1574">
        <f>'Ingresos Socios (2)'!R9</f>
        <v>30.288282500000008</v>
      </c>
      <c r="S3" s="1574">
        <f>'Ingresos Socios (2)'!S9</f>
        <v>16.216672500000008</v>
      </c>
      <c r="T3" s="1574">
        <f>'Ingresos Socios (2)'!T9</f>
        <v>21.021612500000003</v>
      </c>
      <c r="U3" s="1574">
        <f>'Ingresos Socios (2)'!U9</f>
        <v>36.380260000000007</v>
      </c>
      <c r="V3" s="1574">
        <f>'Ingresos Socios (2)'!V9</f>
        <v>16.817290000000014</v>
      </c>
      <c r="W3" s="1574">
        <f>'Ingresos Socios (2)'!W9</f>
        <v>16.388277500000008</v>
      </c>
      <c r="X3" s="1574">
        <f>'Ingresos Socios (2)'!X9</f>
        <v>15.787660000000013</v>
      </c>
      <c r="Y3" s="1574">
        <f>'Ingresos Socios (2)'!Y9</f>
        <v>9.4382750000000009</v>
      </c>
      <c r="Z3" s="1573">
        <f>'Ingresos Socios (2)'!Z9</f>
        <v>26.684577500000003</v>
      </c>
      <c r="AA3" s="1572">
        <f>SUM(B3:Z3)</f>
        <v>576.76440500000012</v>
      </c>
    </row>
    <row r="4" spans="1:27" ht="44.4" thickTop="1" thickBot="1" x14ac:dyDescent="0.35">
      <c r="A4" s="1660" t="str">
        <f>VLOOKUP("(Aforro na Fatura e Ingresos por Compensación ou Venda da Enerxía Excedentaria)",tabIdiomas26[],MATCH('Indiv. Invoices Comparison'!$J$2,tabIdiomas26[#Headers]),FALSE)</f>
        <v>(Savings Achieved on the Electricity Invoice and Revenues from Excedentary Energy Compensation or Sale)</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row>
    <row r="5" spans="1:27" ht="15.6" thickTop="1" thickBot="1" x14ac:dyDescent="0.35">
      <c r="A5" s="641"/>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row>
    <row r="6" spans="1:27" ht="29.4" thickTop="1" x14ac:dyDescent="0.3">
      <c r="A6" s="1606" t="str">
        <f>VLOOKUP("Cota Mensual Extraordinaria Primeiro Ano -€/Mes-",tabIdiomas26[],MATCH('Indiv. Invoices Comparison'!$J$2,tabIdiomas26[#Headers]),FALSE)</f>
        <v>Extraordinary Monthly Membership Fee for the First Year -€ per Month-</v>
      </c>
      <c r="B6" s="1659">
        <f>'Resultado Socios (2)'!B6</f>
        <v>0</v>
      </c>
      <c r="C6" s="1658">
        <f>'Resultado Socios (2)'!C6</f>
        <v>0</v>
      </c>
      <c r="D6" s="1658">
        <f>'Resultado Socios (2)'!D6</f>
        <v>0</v>
      </c>
      <c r="E6" s="1658">
        <f>'Resultado Socios (2)'!E6</f>
        <v>0</v>
      </c>
      <c r="F6" s="1658">
        <f>'Resultado Socios (2)'!F6</f>
        <v>0</v>
      </c>
      <c r="G6" s="1658">
        <f>'Resultado Socios (2)'!G6</f>
        <v>0</v>
      </c>
      <c r="H6" s="1658">
        <f>'Resultado Socios (2)'!H6</f>
        <v>0</v>
      </c>
      <c r="I6" s="1658">
        <f>'Resultado Socios (2)'!I6</f>
        <v>0</v>
      </c>
      <c r="J6" s="1658">
        <f>'Resultado Socios (2)'!J6</f>
        <v>0</v>
      </c>
      <c r="K6" s="1658">
        <f>'Resultado Socios (2)'!K6</f>
        <v>0</v>
      </c>
      <c r="L6" s="1658">
        <f>'Resultado Socios (2)'!L6</f>
        <v>0</v>
      </c>
      <c r="M6" s="1658">
        <f>'Resultado Socios (2)'!M6</f>
        <v>0</v>
      </c>
      <c r="N6" s="1658">
        <f>'Resultado Socios (2)'!N6</f>
        <v>0</v>
      </c>
      <c r="O6" s="1658">
        <f>'Resultado Socios (2)'!O6</f>
        <v>0</v>
      </c>
      <c r="P6" s="1658">
        <f>'Resultado Socios (2)'!P6</f>
        <v>0</v>
      </c>
      <c r="Q6" s="1658">
        <f>'Resultado Socios (2)'!Q6</f>
        <v>0</v>
      </c>
      <c r="R6" s="1658">
        <f>'Resultado Socios (2)'!R6</f>
        <v>0</v>
      </c>
      <c r="S6" s="1658">
        <f>'Resultado Socios (2)'!S6</f>
        <v>0</v>
      </c>
      <c r="T6" s="1658">
        <f>'Resultado Socios (2)'!T6</f>
        <v>0</v>
      </c>
      <c r="U6" s="1658">
        <f>'Resultado Socios (2)'!U6</f>
        <v>0</v>
      </c>
      <c r="V6" s="1658">
        <f>'Resultado Socios (2)'!V6</f>
        <v>0</v>
      </c>
      <c r="W6" s="1658">
        <f>'Resultado Socios (2)'!W6</f>
        <v>0</v>
      </c>
      <c r="X6" s="1658">
        <f>'Resultado Socios (2)'!X6</f>
        <v>0</v>
      </c>
      <c r="Y6" s="1658">
        <f>'Resultado Socios (2)'!Y6</f>
        <v>0</v>
      </c>
      <c r="Z6" s="1657">
        <f>'Resultado Socios (2)'!Z6</f>
        <v>0</v>
      </c>
      <c r="AA6" s="1656">
        <f>SUM(B6:Z6)</f>
        <v>0</v>
      </c>
    </row>
    <row r="7" spans="1:27" ht="29.4" thickBot="1" x14ac:dyDescent="0.35">
      <c r="A7" s="1605" t="str">
        <f>VLOOKUP("Cota Mensual Ordinaria (Todos os Anos) -€/Mes-",tabIdiomas26[],MATCH('Indiv. Invoices Comparison'!$J$2,tabIdiomas26[#Headers]),FALSE)</f>
        <v>Ordinary Monthly Membership Fee (All Years) -€ per Month-</v>
      </c>
      <c r="B7" s="1655">
        <f>'Resultado Socios (2)'!B7</f>
        <v>8.2348999999999997</v>
      </c>
      <c r="C7" s="1654">
        <f>'Resultado Socios (2)'!C7</f>
        <v>8.2348999999999997</v>
      </c>
      <c r="D7" s="1654">
        <f>'Resultado Socios (2)'!D7</f>
        <v>8.2348999999999997</v>
      </c>
      <c r="E7" s="1654">
        <f>'Resultado Socios (2)'!E7</f>
        <v>8.2348999999999997</v>
      </c>
      <c r="F7" s="1654">
        <f>'Resultado Socios (2)'!F7</f>
        <v>8.2348999999999997</v>
      </c>
      <c r="G7" s="1654">
        <f>'Resultado Socios (2)'!G7</f>
        <v>8.2348999999999997</v>
      </c>
      <c r="H7" s="1654">
        <f>'Resultado Socios (2)'!H7</f>
        <v>8.2348999999999997</v>
      </c>
      <c r="I7" s="1654">
        <f>'Resultado Socios (2)'!I7</f>
        <v>8.2348999999999997</v>
      </c>
      <c r="J7" s="1654">
        <f>'Resultado Socios (2)'!J7</f>
        <v>8.2348999999999997</v>
      </c>
      <c r="K7" s="1654">
        <f>'Resultado Socios (2)'!K7</f>
        <v>8.2348999999999997</v>
      </c>
      <c r="L7" s="1654">
        <f>'Resultado Socios (2)'!L7</f>
        <v>8.2348999999999997</v>
      </c>
      <c r="M7" s="1654">
        <f>'Resultado Socios (2)'!M7</f>
        <v>8.2348999999999997</v>
      </c>
      <c r="N7" s="1654">
        <f>'Resultado Socios (2)'!N7</f>
        <v>8.2348999999999997</v>
      </c>
      <c r="O7" s="1654">
        <f>'Resultado Socios (2)'!O7</f>
        <v>8.2348999999999997</v>
      </c>
      <c r="P7" s="1654">
        <f>'Resultado Socios (2)'!P7</f>
        <v>8.2348999999999997</v>
      </c>
      <c r="Q7" s="1654">
        <f>'Resultado Socios (2)'!Q7</f>
        <v>8.2348999999999997</v>
      </c>
      <c r="R7" s="1654">
        <f>'Resultado Socios (2)'!R7</f>
        <v>8.2348999999999997</v>
      </c>
      <c r="S7" s="1654">
        <f>'Resultado Socios (2)'!S7</f>
        <v>8.2348999999999997</v>
      </c>
      <c r="T7" s="1654">
        <f>'Resultado Socios (2)'!T7</f>
        <v>8.2348999999999997</v>
      </c>
      <c r="U7" s="1654">
        <f>'Resultado Socios (2)'!U7</f>
        <v>8.2348999999999997</v>
      </c>
      <c r="V7" s="1654">
        <f>'Resultado Socios (2)'!V7</f>
        <v>8.2348999999999997</v>
      </c>
      <c r="W7" s="1654">
        <f>'Resultado Socios (2)'!W7</f>
        <v>8.2348999999999997</v>
      </c>
      <c r="X7" s="1654">
        <f>'Resultado Socios (2)'!X7</f>
        <v>8.2348999999999997</v>
      </c>
      <c r="Y7" s="1654">
        <f>'Resultado Socios (2)'!Y7</f>
        <v>8.2348999999999997</v>
      </c>
      <c r="Z7" s="1653">
        <f>'Resultado Socios (2)'!Z7</f>
        <v>8.2348999999999997</v>
      </c>
      <c r="AA7" s="1652">
        <f>SUM(B7:Z7)</f>
        <v>205.87250000000006</v>
      </c>
    </row>
    <row r="8" spans="1:27" s="10" customFormat="1" ht="43.8" thickBot="1" x14ac:dyDescent="0.35">
      <c r="A8" s="1604" t="str">
        <f>VLOOKUP("Outros Desembolsos Mensuais do Socio a Favor da Entidade Xestora da Iniciativa Enerxética Comunitaria -€/Mes-",tabIdiomas26[],MATCH('Indiv. Invoices Comparison'!$J$2,tabIdiomas26[#Headers]),FALSE)</f>
        <v>Other Monthly Amounts Paid by the Partner to the Community Energy Initiative Manager-Entity -€ per Month-</v>
      </c>
      <c r="B8" s="1651">
        <f>'Resultado Socios (2)'!B8</f>
        <v>0</v>
      </c>
      <c r="C8" s="1650">
        <f>'Resultado Socios (2)'!C8</f>
        <v>0</v>
      </c>
      <c r="D8" s="1650">
        <f>'Resultado Socios (2)'!D8</f>
        <v>0</v>
      </c>
      <c r="E8" s="1650">
        <f>'Resultado Socios (2)'!E8</f>
        <v>0</v>
      </c>
      <c r="F8" s="1650">
        <f>'Resultado Socios (2)'!F8</f>
        <v>0</v>
      </c>
      <c r="G8" s="1650">
        <f>'Resultado Socios (2)'!G8</f>
        <v>0</v>
      </c>
      <c r="H8" s="1650">
        <f>'Resultado Socios (2)'!H8</f>
        <v>0</v>
      </c>
      <c r="I8" s="1650">
        <f>'Resultado Socios (2)'!I8</f>
        <v>0</v>
      </c>
      <c r="J8" s="1650">
        <f>'Resultado Socios (2)'!J8</f>
        <v>0</v>
      </c>
      <c r="K8" s="1650">
        <f>'Resultado Socios (2)'!K8</f>
        <v>0</v>
      </c>
      <c r="L8" s="1650">
        <f>'Resultado Socios (2)'!L8</f>
        <v>0</v>
      </c>
      <c r="M8" s="1650">
        <f>'Resultado Socios (2)'!M8</f>
        <v>0</v>
      </c>
      <c r="N8" s="1650">
        <f>'Resultado Socios (2)'!N8</f>
        <v>0</v>
      </c>
      <c r="O8" s="1650">
        <f>'Resultado Socios (2)'!O8</f>
        <v>0</v>
      </c>
      <c r="P8" s="1650">
        <f>'Resultado Socios (2)'!P8</f>
        <v>0</v>
      </c>
      <c r="Q8" s="1650">
        <f>'Resultado Socios (2)'!Q8</f>
        <v>0</v>
      </c>
      <c r="R8" s="1650">
        <f>'Resultado Socios (2)'!R8</f>
        <v>0</v>
      </c>
      <c r="S8" s="1650">
        <f>'Resultado Socios (2)'!S8</f>
        <v>0</v>
      </c>
      <c r="T8" s="1650">
        <f>'Resultado Socios (2)'!T8</f>
        <v>0</v>
      </c>
      <c r="U8" s="1650">
        <f>'Resultado Socios (2)'!U8</f>
        <v>0</v>
      </c>
      <c r="V8" s="1650">
        <f>'Resultado Socios (2)'!V8</f>
        <v>0</v>
      </c>
      <c r="W8" s="1650">
        <f>'Resultado Socios (2)'!W8</f>
        <v>0</v>
      </c>
      <c r="X8" s="1650">
        <f>'Resultado Socios (2)'!X8</f>
        <v>0</v>
      </c>
      <c r="Y8" s="1650">
        <f>'Resultado Socios (2)'!Y8</f>
        <v>0</v>
      </c>
      <c r="Z8" s="1649">
        <f>'Resultado Socios (2)'!Z8</f>
        <v>0</v>
      </c>
      <c r="AA8" s="1648">
        <f>SUM(B8:Z8)</f>
        <v>0</v>
      </c>
    </row>
    <row r="9" spans="1:27" s="10" customFormat="1" ht="43.8" thickBot="1" x14ac:dyDescent="0.35">
      <c r="A9" s="1558" t="str">
        <f>VLOOKUP("Total de Custos Soportados polo Socio no Mes, Derivados da súa Pertenza á Iniciativa Enerxética Comunitaria (€)",tabIdiomas26[],MATCH('Indiv. Invoices Comparison'!$J$2,tabIdiomas26[#Headers]),FALSE)</f>
        <v>Total Monthly Costs Assumed by the Partner, Deriving from the Membership in the Community Energy Initiative (€)</v>
      </c>
      <c r="B9" s="1647">
        <f t="shared" ref="B9:Z9" si="0">SUM(B6:B8)</f>
        <v>8.2348999999999997</v>
      </c>
      <c r="C9" s="1646">
        <f t="shared" si="0"/>
        <v>8.2348999999999997</v>
      </c>
      <c r="D9" s="1646">
        <f t="shared" si="0"/>
        <v>8.2348999999999997</v>
      </c>
      <c r="E9" s="1646">
        <f t="shared" si="0"/>
        <v>8.2348999999999997</v>
      </c>
      <c r="F9" s="1646">
        <f t="shared" si="0"/>
        <v>8.2348999999999997</v>
      </c>
      <c r="G9" s="1646">
        <f t="shared" si="0"/>
        <v>8.2348999999999997</v>
      </c>
      <c r="H9" s="1646">
        <f t="shared" si="0"/>
        <v>8.2348999999999997</v>
      </c>
      <c r="I9" s="1646">
        <f t="shared" si="0"/>
        <v>8.2348999999999997</v>
      </c>
      <c r="J9" s="1646">
        <f t="shared" si="0"/>
        <v>8.2348999999999997</v>
      </c>
      <c r="K9" s="1646">
        <f t="shared" si="0"/>
        <v>8.2348999999999997</v>
      </c>
      <c r="L9" s="1646">
        <f t="shared" si="0"/>
        <v>8.2348999999999997</v>
      </c>
      <c r="M9" s="1646">
        <f t="shared" si="0"/>
        <v>8.2348999999999997</v>
      </c>
      <c r="N9" s="1646">
        <f t="shared" si="0"/>
        <v>8.2348999999999997</v>
      </c>
      <c r="O9" s="1646">
        <f t="shared" si="0"/>
        <v>8.2348999999999997</v>
      </c>
      <c r="P9" s="1646">
        <f t="shared" si="0"/>
        <v>8.2348999999999997</v>
      </c>
      <c r="Q9" s="1646">
        <f t="shared" si="0"/>
        <v>8.2348999999999997</v>
      </c>
      <c r="R9" s="1646">
        <f t="shared" si="0"/>
        <v>8.2348999999999997</v>
      </c>
      <c r="S9" s="1646">
        <f t="shared" si="0"/>
        <v>8.2348999999999997</v>
      </c>
      <c r="T9" s="1646">
        <f t="shared" si="0"/>
        <v>8.2348999999999997</v>
      </c>
      <c r="U9" s="1646">
        <f t="shared" si="0"/>
        <v>8.2348999999999997</v>
      </c>
      <c r="V9" s="1646">
        <f t="shared" si="0"/>
        <v>8.2348999999999997</v>
      </c>
      <c r="W9" s="1646">
        <f t="shared" si="0"/>
        <v>8.2348999999999997</v>
      </c>
      <c r="X9" s="1646">
        <f t="shared" si="0"/>
        <v>8.2348999999999997</v>
      </c>
      <c r="Y9" s="1646">
        <f t="shared" si="0"/>
        <v>8.2348999999999997</v>
      </c>
      <c r="Z9" s="1645">
        <f t="shared" si="0"/>
        <v>8.2348999999999997</v>
      </c>
      <c r="AA9" s="1644">
        <f>SUM(B9:Z9)</f>
        <v>205.87250000000006</v>
      </c>
    </row>
    <row r="10" spans="1:27" ht="15" thickTop="1" x14ac:dyDescent="0.3">
      <c r="A10" s="641"/>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row>
    <row r="11" spans="1:27" ht="15" thickBot="1" x14ac:dyDescent="0.35">
      <c r="A11" s="641"/>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row>
    <row r="12" spans="1:27" ht="30" thickTop="1" thickBot="1" x14ac:dyDescent="0.35">
      <c r="A12" s="1603" t="str">
        <f>VLOOKUP("Resultado Neto Mensual Esperado para o Socio da súa Pertenza á Iniciativa Enerxética Comunitaria (€)",tabIdiomas26[],MATCH('Indiv. Invoices Comparison'!$J$2,tabIdiomas26[#Headers]),FALSE)</f>
        <v>Expected Monthly Net Result of the Community Energy Initiative Membership for the Partner (€)</v>
      </c>
      <c r="B12" s="1602">
        <f t="shared" ref="B12:Z12" si="1">B3-B9</f>
        <v>34.752152500000022</v>
      </c>
      <c r="C12" s="1602">
        <f t="shared" si="1"/>
        <v>16.991035000000007</v>
      </c>
      <c r="D12" s="1602">
        <f t="shared" si="1"/>
        <v>2.5762149999999995</v>
      </c>
      <c r="E12" s="1602">
        <f t="shared" si="1"/>
        <v>36.554004999999989</v>
      </c>
      <c r="F12" s="1602">
        <f t="shared" si="1"/>
        <v>1.1175725000000032</v>
      </c>
      <c r="G12" s="1602">
        <f t="shared" si="1"/>
        <v>14.588565000000006</v>
      </c>
      <c r="H12" s="1602">
        <f t="shared" si="1"/>
        <v>31.320052500000006</v>
      </c>
      <c r="I12" s="1602">
        <f t="shared" si="1"/>
        <v>8.4965875000000004</v>
      </c>
      <c r="J12" s="1602">
        <f t="shared" si="1"/>
        <v>3.9490550000000013</v>
      </c>
      <c r="K12" s="1602">
        <f t="shared" si="1"/>
        <v>3.7774499999999982</v>
      </c>
      <c r="L12" s="1602">
        <f t="shared" si="1"/>
        <v>14.416960000000007</v>
      </c>
      <c r="M12" s="1602">
        <f t="shared" si="1"/>
        <v>27.716347500000008</v>
      </c>
      <c r="N12" s="1602">
        <f t="shared" si="1"/>
        <v>29.861409999999996</v>
      </c>
      <c r="O12" s="1602">
        <f t="shared" si="1"/>
        <v>1.9755975000000046</v>
      </c>
      <c r="P12" s="1602">
        <f t="shared" si="1"/>
        <v>28.574372500000006</v>
      </c>
      <c r="Q12" s="1602">
        <f t="shared" si="1"/>
        <v>-0.68428000000000022</v>
      </c>
      <c r="R12" s="1602">
        <f t="shared" si="1"/>
        <v>22.053382500000009</v>
      </c>
      <c r="S12" s="1602">
        <f t="shared" si="1"/>
        <v>7.9817725000000088</v>
      </c>
      <c r="T12" s="1602">
        <f t="shared" si="1"/>
        <v>12.786712500000004</v>
      </c>
      <c r="U12" s="1602">
        <f t="shared" si="1"/>
        <v>28.145360000000007</v>
      </c>
      <c r="V12" s="1602">
        <f t="shared" si="1"/>
        <v>8.5823900000000144</v>
      </c>
      <c r="W12" s="1602">
        <f t="shared" si="1"/>
        <v>8.1533775000000084</v>
      </c>
      <c r="X12" s="1602">
        <f t="shared" si="1"/>
        <v>7.5527600000000135</v>
      </c>
      <c r="Y12" s="1602">
        <f t="shared" si="1"/>
        <v>1.2033750000000012</v>
      </c>
      <c r="Z12" s="1601">
        <f t="shared" si="1"/>
        <v>18.449677500000004</v>
      </c>
      <c r="AA12" s="1600">
        <f>SUM(B12:Z12)</f>
        <v>370.89190500000018</v>
      </c>
    </row>
    <row r="13" spans="1:27" ht="15.6" thickTop="1" thickBot="1" x14ac:dyDescent="0.35">
      <c r="A13" s="641"/>
      <c r="B13" s="641"/>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641"/>
    </row>
    <row r="14" spans="1:27" ht="44.4" thickTop="1" thickBot="1" x14ac:dyDescent="0.35">
      <c r="A14" s="1643" t="str">
        <f>VLOOKUP("Resultado Neto Mensual Esperado para o Socio da súa Pertenza á Iniciativa Enerxética Comunitaria (% s/ Fatura Inicial)",tabIdiomas26[],MATCH('Indiv. Invoices Comparison'!$J$2,tabIdiomas26[#Headers]),FALSE)</f>
        <v>Expected Monthly Net Result of the Community Energy Initiative Membership for the Partner (% on Initial Invoice Amount)</v>
      </c>
      <c r="B14" s="1642">
        <f>B12/'Factura Socios Sen CE (2)'!B17</f>
        <v>0.43878839376472378</v>
      </c>
      <c r="C14" s="1642">
        <f>C12/'Factura Socios Sen CE (2)'!C17</f>
        <v>0.31448561555663768</v>
      </c>
      <c r="D14" s="1642">
        <f>D12/'Factura Socios Sen CE (2)'!D17</f>
        <v>7.6676763313178492E-2</v>
      </c>
      <c r="E14" s="1642">
        <f>E12/'Factura Socios Sen CE (2)'!E17</f>
        <v>0.44712213549743801</v>
      </c>
      <c r="F14" s="1642">
        <f>F12/'Factura Socios Sen CE (2)'!F17</f>
        <v>3.5443504715393176E-2</v>
      </c>
      <c r="G14" s="1642">
        <f>G12/'Factura Socios Sen CE (2)'!G17</f>
        <v>0.28818011698187357</v>
      </c>
      <c r="H14" s="1642">
        <f>H12/'Factura Socios Sen CE (2)'!H17</f>
        <v>0.42133057330196105</v>
      </c>
      <c r="I14" s="1642">
        <f>I12/'Factura Socios Sen CE (2)'!I17</f>
        <v>0.20235209906662113</v>
      </c>
      <c r="J14" s="1642">
        <f>J12/'Factura Socios Sen CE (2)'!J17</f>
        <v>0.11110309415608258</v>
      </c>
      <c r="K14" s="1642">
        <f>K12/'Factura Socios Sen CE (2)'!K17</f>
        <v>0.10700733957441133</v>
      </c>
      <c r="L14" s="1642">
        <f>L12/'Factura Socios Sen CE (2)'!L17</f>
        <v>0.28616509164412235</v>
      </c>
      <c r="M14" s="1642">
        <f>M12/'Factura Socios Sen CE (2)'!M17</f>
        <v>0.40035952836700572</v>
      </c>
      <c r="N14" s="1642">
        <f>N12/'Factura Socios Sen CE (2)'!N17</f>
        <v>0.41319936906179922</v>
      </c>
      <c r="O14" s="1642">
        <f>O12/'Factura Socios Sen CE (2)'!O17</f>
        <v>6.0328847732040787E-2</v>
      </c>
      <c r="P14" s="1642">
        <f>P12/'Factura Socios Sen CE (2)'!P17</f>
        <v>0.40562845312645252</v>
      </c>
      <c r="Q14" s="1642">
        <f>Q12/'Factura Socios Sen CE (2)'!Q17</f>
        <v>-2.361427338820794E-2</v>
      </c>
      <c r="R14" s="1642">
        <f>R12/'Factura Socios Sen CE (2)'!R17</f>
        <v>0.36033340425375165</v>
      </c>
      <c r="S14" s="1642">
        <f>S12/'Factura Socios Sen CE (2)'!S17</f>
        <v>0.1934529876850602</v>
      </c>
      <c r="T14" s="1642">
        <f>T12/'Factura Socios Sen CE (2)'!T17</f>
        <v>0.2660053850799472</v>
      </c>
      <c r="U14" s="1642">
        <f>U12/'Factura Socios Sen CE (2)'!U17</f>
        <v>0.40301692739301676</v>
      </c>
      <c r="V14" s="1642">
        <f>V12/'Factura Socios Sen CE (2)'!V17</f>
        <v>0.20380530288379312</v>
      </c>
      <c r="W14" s="1642">
        <f>W12/'Factura Socios Sen CE (2)'!W17</f>
        <v>0.19645412460076575</v>
      </c>
      <c r="X14" s="1642">
        <f>X12/'Factura Socios Sen CE (2)'!X17</f>
        <v>0.18579303712838191</v>
      </c>
      <c r="Y14" s="1642">
        <f>Y12/'Factura Socios Sen CE (2)'!Y17</f>
        <v>3.8018084250435603E-2</v>
      </c>
      <c r="Z14" s="1641">
        <f>Z12/'Factura Socios Sen CE (2)'!Z17</f>
        <v>0.32889878453869081</v>
      </c>
      <c r="AA14" s="1640">
        <f>AA12/'Factura Socios Sen CE (2)'!AA17</f>
        <v>0.29104797254691789</v>
      </c>
    </row>
    <row r="15" spans="1:27" ht="15" thickTop="1" x14ac:dyDescent="0.3"/>
    <row r="18" spans="1:1" x14ac:dyDescent="0.3">
      <c r="A18" s="1128" t="str">
        <f>VLOOKUP("Importante:",tabIdiomas26[],MATCH('Indiv. Invoices Comparison'!$J$2,tabIdiomas26[#Headers]),FALSE)</f>
        <v>Important Notice:</v>
      </c>
    </row>
    <row r="19" spans="1:1" ht="43.2" x14ac:dyDescent="0.3">
      <c r="A19" s="1127"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row>
  </sheetData>
  <sheetProtection algorithmName="SHA-512" hashValue="nKyJgp8V4zF8KcACuvb4yIQk3m4AvDTvKPKbFsSra63CLimDFqDNmAXsctVGx/phQDVX8vJsYQb8SVsPD883Kw==" saltValue="l9rnDf1fKFvSDGs7cfNJfA=="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583-C81D-4D3F-A03A-C70C122078A3}">
  <sheetPr>
    <tabColor rgb="FFFFFF00"/>
    <pageSetUpPr fitToPage="1"/>
  </sheetPr>
  <dimension ref="A1:E373"/>
  <sheetViews>
    <sheetView topLeftCell="A95" zoomScale="94" zoomScaleNormal="94" workbookViewId="0">
      <selection activeCell="C95" sqref="C95"/>
    </sheetView>
  </sheetViews>
  <sheetFormatPr baseColWidth="10" defaultColWidth="11.44140625" defaultRowHeight="14.4" x14ac:dyDescent="0.3"/>
  <cols>
    <col min="1" max="5" width="40.77734375" customWidth="1"/>
    <col min="6" max="6" width="19.5546875" bestFit="1" customWidth="1"/>
    <col min="7" max="7" width="21.21875" bestFit="1" customWidth="1"/>
    <col min="8" max="8" width="20.5546875" bestFit="1" customWidth="1"/>
  </cols>
  <sheetData>
    <row r="1" spans="1:5" x14ac:dyDescent="0.3">
      <c r="A1" t="s">
        <v>10</v>
      </c>
      <c r="B1" t="s">
        <v>21</v>
      </c>
      <c r="C1" t="s">
        <v>22</v>
      </c>
      <c r="D1" t="s">
        <v>23</v>
      </c>
      <c r="E1" t="s">
        <v>0</v>
      </c>
    </row>
    <row r="2" spans="1:5" x14ac:dyDescent="0.3">
      <c r="A2" s="316" t="s">
        <v>24</v>
      </c>
      <c r="B2" s="316" t="s">
        <v>25</v>
      </c>
      <c r="C2" s="316" t="s">
        <v>26</v>
      </c>
      <c r="D2" s="316" t="s">
        <v>27</v>
      </c>
      <c r="E2" s="316" t="str">
        <f>tabIdiomas26[[#This Row],[Cadena]]</f>
        <v>Hipóteses Xerais</v>
      </c>
    </row>
    <row r="3" spans="1:5" x14ac:dyDescent="0.3">
      <c r="A3" s="316" t="s">
        <v>28</v>
      </c>
      <c r="B3" s="316" t="s">
        <v>29</v>
      </c>
      <c r="C3" s="316" t="s">
        <v>30</v>
      </c>
      <c r="D3" s="316" t="s">
        <v>31</v>
      </c>
      <c r="E3" s="316" t="str">
        <f>tabIdiomas26[[#This Row],[Cadena]]</f>
        <v>Lingua</v>
      </c>
    </row>
    <row r="4" spans="1:5" x14ac:dyDescent="0.3">
      <c r="A4" s="316" t="s">
        <v>32</v>
      </c>
      <c r="B4" s="316" t="s">
        <v>33</v>
      </c>
      <c r="C4" s="316" t="s">
        <v>34</v>
      </c>
      <c r="D4" s="316" t="s">
        <v>35</v>
      </c>
      <c r="E4" s="316" t="str">
        <f>tabIdiomas26[[#This Row],[Cadena]]</f>
        <v>Emprazamento das Instalacións (Xeral)</v>
      </c>
    </row>
    <row r="5" spans="1:5" x14ac:dyDescent="0.3">
      <c r="A5" s="316" t="s">
        <v>36</v>
      </c>
      <c r="B5" s="316" t="s">
        <v>37</v>
      </c>
      <c r="C5" s="316" t="s">
        <v>38</v>
      </c>
      <c r="D5" s="316" t="s">
        <v>39</v>
      </c>
      <c r="E5" s="316" t="str">
        <f>tabIdiomas26[[#This Row],[Cadena]]</f>
        <v>Área Xeográfica</v>
      </c>
    </row>
    <row r="6" spans="1:5" x14ac:dyDescent="0.3">
      <c r="A6" s="316" t="s">
        <v>1</v>
      </c>
      <c r="B6" s="316" t="s">
        <v>1</v>
      </c>
      <c r="C6" s="316" t="s">
        <v>1</v>
      </c>
      <c r="D6" s="316" t="s">
        <v>1</v>
      </c>
      <c r="E6" s="316" t="str">
        <f>tabIdiomas26[[#This Row],[Cadena]]</f>
        <v>Galicia</v>
      </c>
    </row>
    <row r="7" spans="1:5" x14ac:dyDescent="0.3">
      <c r="A7" s="316" t="s">
        <v>40</v>
      </c>
      <c r="B7" s="316" t="s">
        <v>41</v>
      </c>
      <c r="C7" s="316" t="s">
        <v>2</v>
      </c>
      <c r="D7" s="316" t="s">
        <v>40</v>
      </c>
      <c r="E7" s="316" t="str">
        <f>tabIdiomas26[[#This Row],[Cadena]]</f>
        <v>Resto de España</v>
      </c>
    </row>
    <row r="8" spans="1:5" x14ac:dyDescent="0.3">
      <c r="A8" s="316" t="s">
        <v>42</v>
      </c>
      <c r="B8" s="316" t="s">
        <v>43</v>
      </c>
      <c r="C8" s="316" t="s">
        <v>44</v>
      </c>
      <c r="D8" s="316" t="s">
        <v>45</v>
      </c>
      <c r="E8" s="316" t="str">
        <f>tabIdiomas26[[#This Row],[Cadena]]</f>
        <v>Estranxeiro</v>
      </c>
    </row>
    <row r="9" spans="1:5" x14ac:dyDescent="0.3">
      <c r="A9" s="316" t="s">
        <v>46</v>
      </c>
      <c r="B9" s="316" t="s">
        <v>47</v>
      </c>
      <c r="C9" s="316" t="s">
        <v>48</v>
      </c>
      <c r="D9" s="316" t="s">
        <v>49</v>
      </c>
      <c r="E9" s="316" t="str">
        <f>tabIdiomas26[[#This Row],[Cadena]]</f>
        <v>Provincia ou Rexión</v>
      </c>
    </row>
    <row r="10" spans="1:5" x14ac:dyDescent="0.3">
      <c r="A10" s="316" t="s">
        <v>50</v>
      </c>
      <c r="B10" s="316" t="s">
        <v>51</v>
      </c>
      <c r="C10" s="316" t="s">
        <v>52</v>
      </c>
      <c r="D10" s="316" t="s">
        <v>50</v>
      </c>
      <c r="E10" s="316" t="str">
        <f>tabIdiomas26[[#This Row],[Cadena]]</f>
        <v>Provincia</v>
      </c>
    </row>
    <row r="11" spans="1:5" x14ac:dyDescent="0.3">
      <c r="A11" s="316" t="s">
        <v>53</v>
      </c>
      <c r="B11" s="316" t="s">
        <v>54</v>
      </c>
      <c r="C11" s="316" t="s">
        <v>55</v>
      </c>
      <c r="D11" s="316" t="s">
        <v>56</v>
      </c>
      <c r="E11" s="316" t="str">
        <f>tabIdiomas26[[#This Row],[Cadena]]</f>
        <v>Concello ou Termo Municipal</v>
      </c>
    </row>
    <row r="12" spans="1:5" x14ac:dyDescent="0.3">
      <c r="A12" s="316" t="s">
        <v>57</v>
      </c>
      <c r="B12" s="316" t="s">
        <v>33</v>
      </c>
      <c r="C12" s="316" t="s">
        <v>58</v>
      </c>
      <c r="D12" s="316" t="s">
        <v>59</v>
      </c>
      <c r="E12" s="316" t="str">
        <f>tabIdiomas26[[#This Row],[Cadena]]</f>
        <v>Emprazamento das Instalacións (Galicia)</v>
      </c>
    </row>
    <row r="13" spans="1:5" x14ac:dyDescent="0.3">
      <c r="A13" s="316" t="s">
        <v>60</v>
      </c>
      <c r="B13" s="316" t="s">
        <v>61</v>
      </c>
      <c r="C13" s="316" t="s">
        <v>62</v>
      </c>
      <c r="D13" s="316" t="s">
        <v>60</v>
      </c>
      <c r="E13" s="316" t="str">
        <f>tabIdiomas26[[#This Row],[Cadena]]</f>
        <v>CC.AA.</v>
      </c>
    </row>
    <row r="14" spans="1:5" x14ac:dyDescent="0.3">
      <c r="A14" s="316" t="s">
        <v>63</v>
      </c>
      <c r="B14" s="316" t="s">
        <v>64</v>
      </c>
      <c r="C14" s="316" t="s">
        <v>55</v>
      </c>
      <c r="D14" s="316" t="s">
        <v>65</v>
      </c>
      <c r="E14" s="316" t="str">
        <f>tabIdiomas26[[#This Row],[Cadena]]</f>
        <v>Concello</v>
      </c>
    </row>
    <row r="15" spans="1:5" x14ac:dyDescent="0.3">
      <c r="A15" s="316" t="s">
        <v>66</v>
      </c>
      <c r="B15" s="316" t="s">
        <v>67</v>
      </c>
      <c r="C15" s="316" t="s">
        <v>68</v>
      </c>
      <c r="D15" s="316" t="s">
        <v>66</v>
      </c>
      <c r="E15" s="316" t="str">
        <f>tabIdiomas26[[#This Row],[Cadena]]</f>
        <v>Parroquia</v>
      </c>
    </row>
    <row r="16" spans="1:5" x14ac:dyDescent="0.3">
      <c r="A16" s="316" t="s">
        <v>69</v>
      </c>
      <c r="B16" s="316" t="s">
        <v>69</v>
      </c>
      <c r="C16" s="316" t="s">
        <v>69</v>
      </c>
      <c r="D16" s="316" t="s">
        <v>69</v>
      </c>
      <c r="E16" s="316" t="str">
        <f>tabIdiomas26[[#This Row],[Cadena]]</f>
        <v>A Coruña</v>
      </c>
    </row>
    <row r="17" spans="1:5" x14ac:dyDescent="0.3">
      <c r="A17" s="316" t="s">
        <v>70</v>
      </c>
      <c r="B17" s="316" t="s">
        <v>70</v>
      </c>
      <c r="C17" s="316" t="s">
        <v>70</v>
      </c>
      <c r="D17" s="316" t="s">
        <v>70</v>
      </c>
      <c r="E17" s="316" t="str">
        <f>tabIdiomas26[[#This Row],[Cadena]]</f>
        <v>Lugo</v>
      </c>
    </row>
    <row r="18" spans="1:5" x14ac:dyDescent="0.3">
      <c r="A18" s="316" t="s">
        <v>71</v>
      </c>
      <c r="B18" s="316" t="s">
        <v>71</v>
      </c>
      <c r="C18" s="316" t="s">
        <v>71</v>
      </c>
      <c r="D18" s="316" t="s">
        <v>71</v>
      </c>
      <c r="E18" s="316" t="str">
        <f>tabIdiomas26[[#This Row],[Cadena]]</f>
        <v>Ourense</v>
      </c>
    </row>
    <row r="19" spans="1:5" x14ac:dyDescent="0.3">
      <c r="A19" s="316" t="s">
        <v>3</v>
      </c>
      <c r="B19" s="316" t="s">
        <v>3</v>
      </c>
      <c r="C19" s="316" t="s">
        <v>3</v>
      </c>
      <c r="D19" s="316" t="s">
        <v>3</v>
      </c>
      <c r="E19" s="316" t="str">
        <f>tabIdiomas26[[#This Row],[Cadena]]</f>
        <v>Pontevedra</v>
      </c>
    </row>
    <row r="20" spans="1:5" ht="28.8" x14ac:dyDescent="0.3">
      <c r="A20" s="316" t="s">
        <v>72</v>
      </c>
      <c r="B20" s="316" t="s">
        <v>73</v>
      </c>
      <c r="C20" s="316" t="s">
        <v>74</v>
      </c>
      <c r="D20" s="316" t="s">
        <v>75</v>
      </c>
      <c r="E20" s="316" t="str">
        <f>tabIdiomas26[[#This Row],[Cadena]]</f>
        <v>Dispoñibilidade de Terreos para Emprazar as Instalacións</v>
      </c>
    </row>
    <row r="21" spans="1:5" x14ac:dyDescent="0.3">
      <c r="A21" s="316" t="s">
        <v>76</v>
      </c>
      <c r="B21" s="316" t="s">
        <v>77</v>
      </c>
      <c r="C21" s="316" t="s">
        <v>78</v>
      </c>
      <c r="D21" s="316" t="s">
        <v>79</v>
      </c>
      <c r="E21" s="316" t="str">
        <f>tabIdiomas26[[#This Row],[Cadena]]</f>
        <v>Superficie de Terreo Dispoñible (m2)</v>
      </c>
    </row>
    <row r="22" spans="1:5" ht="28.8" x14ac:dyDescent="0.3">
      <c r="A22" s="316" t="s">
        <v>80</v>
      </c>
      <c r="B22" s="316" t="s">
        <v>81</v>
      </c>
      <c r="C22" s="316" t="s">
        <v>82</v>
      </c>
      <c r="D22" s="316" t="s">
        <v>83</v>
      </c>
      <c r="E22" s="316" t="str">
        <f>tabIdiomas26[[#This Row],[Cadena]]</f>
        <v>Superficie Precisa para Corredores (m2)</v>
      </c>
    </row>
    <row r="23" spans="1:5" x14ac:dyDescent="0.3">
      <c r="A23" s="316" t="s">
        <v>84</v>
      </c>
      <c r="B23" s="316" t="s">
        <v>85</v>
      </c>
      <c r="C23" s="316" t="s">
        <v>86</v>
      </c>
      <c r="D23" s="316" t="s">
        <v>87</v>
      </c>
      <c r="E23" s="316" t="str">
        <f>tabIdiomas26[[#This Row],[Cadena]]</f>
        <v>Prazo da Instalación (Anos)</v>
      </c>
    </row>
    <row r="24" spans="1:5" ht="28.8" x14ac:dyDescent="0.3">
      <c r="A24" s="316" t="s">
        <v>88</v>
      </c>
      <c r="B24" s="316" t="s">
        <v>89</v>
      </c>
      <c r="C24" s="316" t="s">
        <v>90</v>
      </c>
      <c r="D24" s="316" t="s">
        <v>91</v>
      </c>
      <c r="E24" s="316" t="str">
        <f>tabIdiomas26[[#This Row],[Cadena]]</f>
        <v>IVE - Venda de Mercaderías, Gastos e Investimentos (%)</v>
      </c>
    </row>
    <row r="25" spans="1:5" x14ac:dyDescent="0.3">
      <c r="A25" s="316" t="s">
        <v>92</v>
      </c>
      <c r="B25" s="316" t="s">
        <v>93</v>
      </c>
      <c r="C25" s="316" t="s">
        <v>94</v>
      </c>
      <c r="D25" s="316" t="s">
        <v>95</v>
      </c>
      <c r="E25" s="316" t="str">
        <f>tabIdiomas26[[#This Row],[Cadena]]</f>
        <v>IVE - Período de Liquidación (Meses)</v>
      </c>
    </row>
    <row r="26" spans="1:5" x14ac:dyDescent="0.3">
      <c r="A26" s="316" t="s">
        <v>96</v>
      </c>
      <c r="B26" s="316" t="s">
        <v>97</v>
      </c>
      <c r="C26" s="316" t="s">
        <v>98</v>
      </c>
      <c r="D26" s="316" t="s">
        <v>96</v>
      </c>
      <c r="E26" s="316" t="str">
        <f>tabIdiomas26[[#This Row],[Cadena]]</f>
        <v>Tipo Impositivo IS (%)</v>
      </c>
    </row>
    <row r="27" spans="1:5" ht="28.8" x14ac:dyDescent="0.3">
      <c r="A27" s="316" t="s">
        <v>99</v>
      </c>
      <c r="B27" s="316" t="s">
        <v>100</v>
      </c>
      <c r="C27" s="316" t="s">
        <v>101</v>
      </c>
      <c r="D27" s="316" t="s">
        <v>102</v>
      </c>
      <c r="E27" s="316" t="str">
        <f>tabIdiomas26[[#This Row],[Cadena]]</f>
        <v>Necesidade de Prestación de Garantía á Administración (Si / Non)</v>
      </c>
    </row>
    <row r="28" spans="1:5" x14ac:dyDescent="0.3">
      <c r="A28" s="316" t="s">
        <v>103</v>
      </c>
      <c r="B28" s="316" t="s">
        <v>104</v>
      </c>
      <c r="C28" s="316" t="s">
        <v>7</v>
      </c>
      <c r="D28" s="316" t="s">
        <v>105</v>
      </c>
      <c r="E28" s="316" t="str">
        <f>tabIdiomas26[[#This Row],[Cadena]]</f>
        <v>Si</v>
      </c>
    </row>
    <row r="29" spans="1:5" x14ac:dyDescent="0.3">
      <c r="A29" s="316" t="s">
        <v>12</v>
      </c>
      <c r="B29" s="316" t="s">
        <v>106</v>
      </c>
      <c r="C29" s="316" t="s">
        <v>5</v>
      </c>
      <c r="D29" s="316" t="s">
        <v>5</v>
      </c>
      <c r="E29" s="316" t="str">
        <f>tabIdiomas26[[#This Row],[Cadena]]</f>
        <v>Non</v>
      </c>
    </row>
    <row r="30" spans="1:5" x14ac:dyDescent="0.3">
      <c r="A30" s="316" t="s">
        <v>107</v>
      </c>
      <c r="B30" s="316" t="s">
        <v>108</v>
      </c>
      <c r="C30" s="316" t="s">
        <v>109</v>
      </c>
      <c r="D30" s="316" t="s">
        <v>110</v>
      </c>
      <c r="E30" s="316" t="str">
        <f>tabIdiomas26[[#This Row],[Cadena]]</f>
        <v>Remuneración Caixa (%)</v>
      </c>
    </row>
    <row r="31" spans="1:5" x14ac:dyDescent="0.3">
      <c r="A31" s="316" t="s">
        <v>111</v>
      </c>
      <c r="B31" s="316" t="s">
        <v>112</v>
      </c>
      <c r="C31" s="316" t="s">
        <v>113</v>
      </c>
      <c r="D31" s="316" t="s">
        <v>114</v>
      </c>
      <c r="E31" s="316" t="str">
        <f>tabIdiomas26[[#This Row],[Cadena]]</f>
        <v>Financiamento do Proxecto</v>
      </c>
    </row>
    <row r="32" spans="1:5" x14ac:dyDescent="0.3">
      <c r="A32" s="316" t="s">
        <v>1690</v>
      </c>
      <c r="B32" s="316" t="s">
        <v>1733</v>
      </c>
      <c r="C32" s="316" t="s">
        <v>1730</v>
      </c>
      <c r="D32" s="316" t="s">
        <v>1690</v>
      </c>
      <c r="E32" s="316" t="str">
        <f>tabIdiomas26[[#This Row],[Cadena]]</f>
        <v>Fondos Propios</v>
      </c>
    </row>
    <row r="33" spans="1:5" x14ac:dyDescent="0.3">
      <c r="A33" s="316" t="s">
        <v>1691</v>
      </c>
      <c r="B33" s="316" t="s">
        <v>1734</v>
      </c>
      <c r="C33" s="316" t="s">
        <v>1731</v>
      </c>
      <c r="D33" s="316" t="s">
        <v>1732</v>
      </c>
      <c r="E33" s="316" t="str">
        <f>tabIdiomas26[[#This Row],[Cadena]]</f>
        <v>Débeda</v>
      </c>
    </row>
    <row r="34" spans="1:5" ht="28.8" x14ac:dyDescent="0.3">
      <c r="A34" s="316" t="s">
        <v>115</v>
      </c>
      <c r="B34" s="316" t="s">
        <v>116</v>
      </c>
      <c r="C34" s="316" t="s">
        <v>117</v>
      </c>
      <c r="D34" s="316" t="s">
        <v>118</v>
      </c>
      <c r="E34" s="316" t="str">
        <f>tabIdiomas26[[#This Row],[Cadena]]</f>
        <v>% Financiamento Alleo do investimento (Débeda)</v>
      </c>
    </row>
    <row r="35" spans="1:5" x14ac:dyDescent="0.3">
      <c r="A35" s="316" t="s">
        <v>119</v>
      </c>
      <c r="B35" s="316" t="s">
        <v>120</v>
      </c>
      <c r="C35" s="316" t="s">
        <v>121</v>
      </c>
      <c r="D35" s="316" t="s">
        <v>122</v>
      </c>
      <c r="E35" s="316" t="str">
        <f>tabIdiomas26[[#This Row],[Cadena]]</f>
        <v>Prazo (Anos)</v>
      </c>
    </row>
    <row r="36" spans="1:5" ht="28.8" x14ac:dyDescent="0.3">
      <c r="A36" s="316" t="s">
        <v>123</v>
      </c>
      <c r="B36" s="316" t="s">
        <v>124</v>
      </c>
      <c r="C36" s="316" t="s">
        <v>125</v>
      </c>
      <c r="D36" s="316" t="s">
        <v>126</v>
      </c>
      <c r="E36" s="316" t="str">
        <f>tabIdiomas26[[#This Row],[Cadena]]</f>
        <v>Período de Carencia de Capital (Anos)</v>
      </c>
    </row>
    <row r="37" spans="1:5" ht="28.8" x14ac:dyDescent="0.3">
      <c r="A37" s="316" t="s">
        <v>127</v>
      </c>
      <c r="B37" s="316" t="s">
        <v>128</v>
      </c>
      <c r="C37" s="316" t="s">
        <v>129</v>
      </c>
      <c r="D37" s="316" t="s">
        <v>130</v>
      </c>
      <c r="E37" s="316" t="str">
        <f>tabIdiomas26[[#This Row],[Cadena]]</f>
        <v>Periodo de Carencia de Xuros (Anos)</v>
      </c>
    </row>
    <row r="38" spans="1:5" x14ac:dyDescent="0.3">
      <c r="A38" s="316" t="s">
        <v>1688</v>
      </c>
      <c r="B38" s="316" t="s">
        <v>1715</v>
      </c>
      <c r="C38" s="316" t="s">
        <v>1711</v>
      </c>
      <c r="D38" s="316" t="s">
        <v>1713</v>
      </c>
      <c r="E38" s="316" t="str">
        <f>tabIdiomas26[[#This Row],[Cadena]]</f>
        <v>Número de Ano</v>
      </c>
    </row>
    <row r="39" spans="1:5" x14ac:dyDescent="0.3">
      <c r="A39" s="316" t="s">
        <v>1689</v>
      </c>
      <c r="B39" s="316" t="s">
        <v>1716</v>
      </c>
      <c r="C39" s="316" t="s">
        <v>1712</v>
      </c>
      <c r="D39" s="316" t="s">
        <v>1714</v>
      </c>
      <c r="E39" s="316" t="str">
        <f>tabIdiomas26[[#This Row],[Cadena]]</f>
        <v>Ano Natural</v>
      </c>
    </row>
    <row r="40" spans="1:5" x14ac:dyDescent="0.3">
      <c r="A40" s="316" t="s">
        <v>131</v>
      </c>
      <c r="B40" s="316" t="s">
        <v>132</v>
      </c>
      <c r="C40" s="316" t="s">
        <v>133</v>
      </c>
      <c r="D40" s="316" t="s">
        <v>134</v>
      </c>
      <c r="E40" s="316" t="str">
        <f>tabIdiomas26[[#This Row],[Cadena]]</f>
        <v>Número de Meses a Considerar no Primeiro Ano</v>
      </c>
    </row>
    <row r="41" spans="1:5" ht="28.8" x14ac:dyDescent="0.3">
      <c r="A41" s="316" t="s">
        <v>135</v>
      </c>
      <c r="B41" s="316" t="s">
        <v>136</v>
      </c>
      <c r="C41" s="316" t="s">
        <v>137</v>
      </c>
      <c r="D41" s="316" t="s">
        <v>135</v>
      </c>
      <c r="E41" s="316" t="str">
        <f>tabIdiomas26[[#This Row],[Cadena]]</f>
        <v>Euribor (%)</v>
      </c>
    </row>
    <row r="42" spans="1:5" x14ac:dyDescent="0.3">
      <c r="A42" s="316" t="s">
        <v>138</v>
      </c>
      <c r="B42" s="316" t="s">
        <v>139</v>
      </c>
      <c r="C42" s="316" t="s">
        <v>140</v>
      </c>
      <c r="D42" s="316" t="s">
        <v>141</v>
      </c>
      <c r="E42" s="316" t="str">
        <f>tabIdiomas26[[#This Row],[Cadena]]</f>
        <v>Marxe sobre Euribor (%)</v>
      </c>
    </row>
    <row r="43" spans="1:5" x14ac:dyDescent="0.3">
      <c r="A43" s="316" t="s">
        <v>142</v>
      </c>
      <c r="B43" s="316" t="s">
        <v>143</v>
      </c>
      <c r="C43" s="316" t="s">
        <v>144</v>
      </c>
      <c r="D43" s="316" t="s">
        <v>142</v>
      </c>
      <c r="E43" s="316" t="str">
        <f>tabIdiomas26[[#This Row],[Cadena]]</f>
        <v>Comisión de Apertura (%)</v>
      </c>
    </row>
    <row r="44" spans="1:5" ht="28.8" x14ac:dyDescent="0.3">
      <c r="A44" s="316" t="s">
        <v>145</v>
      </c>
      <c r="B44" s="316" t="s">
        <v>146</v>
      </c>
      <c r="C44" s="316" t="s">
        <v>147</v>
      </c>
      <c r="D44" s="316" t="s">
        <v>148</v>
      </c>
      <c r="E44" s="316" t="str">
        <f>tabIdiomas26[[#This Row],[Cadena]]</f>
        <v>Desglose do Investimento: Instalacións e Gastos de Constitución</v>
      </c>
    </row>
    <row r="45" spans="1:5" ht="28.8" x14ac:dyDescent="0.3">
      <c r="A45" s="316" t="s">
        <v>149</v>
      </c>
      <c r="B45" s="316" t="s">
        <v>150</v>
      </c>
      <c r="C45" s="316" t="s">
        <v>151</v>
      </c>
      <c r="D45" s="316" t="s">
        <v>152</v>
      </c>
      <c r="E45" s="316" t="str">
        <f>tabIdiomas26[[#This Row],[Cadena]]</f>
        <v>Ratio de Investimento s/ Potencia Instalada (€/kW)</v>
      </c>
    </row>
    <row r="46" spans="1:5" ht="28.8" x14ac:dyDescent="0.3">
      <c r="A46" s="316" t="s">
        <v>153</v>
      </c>
      <c r="B46" s="316" t="s">
        <v>154</v>
      </c>
      <c r="C46" s="316" t="s">
        <v>155</v>
      </c>
      <c r="D46" s="316" t="s">
        <v>156</v>
      </c>
      <c r="E46" s="316" t="str">
        <f>tabIdiomas26[[#This Row],[Cadena]]</f>
        <v>Necesidade de Novo CUPS, Propio (Si/Non)</v>
      </c>
    </row>
    <row r="47" spans="1:5" ht="28.8" x14ac:dyDescent="0.3">
      <c r="A47" s="316" t="s">
        <v>157</v>
      </c>
      <c r="B47" s="316" t="s">
        <v>158</v>
      </c>
      <c r="C47" s="316" t="s">
        <v>159</v>
      </c>
      <c r="D47" s="316" t="s">
        <v>160</v>
      </c>
      <c r="E47" s="316" t="str">
        <f>tabIdiomas26[[#This Row],[Cadena]]</f>
        <v>Custo de Investimento Vinculado á Obtención do Novo CUPS (€)</v>
      </c>
    </row>
    <row r="48" spans="1:5" ht="28.8" x14ac:dyDescent="0.3">
      <c r="A48" s="316" t="s">
        <v>161</v>
      </c>
      <c r="B48" s="316" t="s">
        <v>162</v>
      </c>
      <c r="C48" s="316" t="s">
        <v>163</v>
      </c>
      <c r="D48" s="316" t="s">
        <v>164</v>
      </c>
      <c r="E48" s="316" t="str">
        <f>tabIdiomas26[[#This Row],[Cadena]]</f>
        <v>Gastos de Constitución (Importe Fixo ou Proporcional ao Investimento)</v>
      </c>
    </row>
    <row r="49" spans="1:5" x14ac:dyDescent="0.3">
      <c r="A49" s="316" t="s">
        <v>165</v>
      </c>
      <c r="B49" s="316" t="s">
        <v>166</v>
      </c>
      <c r="C49" s="316" t="s">
        <v>6</v>
      </c>
      <c r="D49" s="316" t="s">
        <v>167</v>
      </c>
      <c r="E49" s="316" t="str">
        <f>tabIdiomas26[[#This Row],[Cadena]]</f>
        <v>Fixo</v>
      </c>
    </row>
    <row r="50" spans="1:5" x14ac:dyDescent="0.3">
      <c r="A50" s="316" t="s">
        <v>168</v>
      </c>
      <c r="B50" s="316" t="s">
        <v>169</v>
      </c>
      <c r="C50" s="316" t="s">
        <v>170</v>
      </c>
      <c r="D50" s="316" t="s">
        <v>168</v>
      </c>
      <c r="E50" s="316" t="str">
        <f>tabIdiomas26[[#This Row],[Cadena]]</f>
        <v>Proporcional</v>
      </c>
    </row>
    <row r="51" spans="1:5" ht="28.8" x14ac:dyDescent="0.3">
      <c r="A51" s="316" t="s">
        <v>171</v>
      </c>
      <c r="B51" s="316" t="s">
        <v>172</v>
      </c>
      <c r="C51" s="316" t="s">
        <v>173</v>
      </c>
      <c r="D51" s="316" t="s">
        <v>174</v>
      </c>
      <c r="E51" s="316" t="str">
        <f>tabIdiomas26[[#This Row],[Cadena]]</f>
        <v>Gastos de Constitución (Importe Proporcional, % s/Investimento Inicial, se Aplicable)</v>
      </c>
    </row>
    <row r="52" spans="1:5" ht="28.8" x14ac:dyDescent="0.3">
      <c r="A52" s="316" t="s">
        <v>175</v>
      </c>
      <c r="B52" s="316" t="s">
        <v>176</v>
      </c>
      <c r="C52" s="316" t="s">
        <v>177</v>
      </c>
      <c r="D52" s="316" t="s">
        <v>178</v>
      </c>
      <c r="E52" s="316" t="str">
        <f>tabIdiomas26[[#This Row],[Cadena]]</f>
        <v>Gastos de Constitución (Importe Fixo, se Aplicable) (€)</v>
      </c>
    </row>
    <row r="53" spans="1:5" x14ac:dyDescent="0.3">
      <c r="A53" s="316" t="s">
        <v>1692</v>
      </c>
      <c r="B53" s="316" t="s">
        <v>1743</v>
      </c>
      <c r="C53" s="316" t="s">
        <v>1744</v>
      </c>
      <c r="D53" s="316" t="s">
        <v>1692</v>
      </c>
      <c r="E53" s="316" t="s">
        <v>1692</v>
      </c>
    </row>
    <row r="54" spans="1:5" x14ac:dyDescent="0.3">
      <c r="A54" s="316" t="s">
        <v>179</v>
      </c>
      <c r="B54" s="316" t="s">
        <v>657</v>
      </c>
      <c r="C54" s="316" t="s">
        <v>656</v>
      </c>
      <c r="D54" s="316" t="s">
        <v>181</v>
      </c>
      <c r="E54" s="316" t="str">
        <f>tabIdiomas26[[#This Row],[Cadena]]</f>
        <v>GASTOS: Compras de Materiais e Servizos</v>
      </c>
    </row>
    <row r="55" spans="1:5" x14ac:dyDescent="0.3">
      <c r="A55" s="316" t="s">
        <v>182</v>
      </c>
      <c r="B55" s="316" t="s">
        <v>183</v>
      </c>
      <c r="C55" s="316" t="s">
        <v>11</v>
      </c>
      <c r="D55" s="316" t="s">
        <v>182</v>
      </c>
      <c r="E55" s="316" t="str">
        <f>tabIdiomas26[[#This Row],[Cadena]]</f>
        <v>Auto-explotación</v>
      </c>
    </row>
    <row r="56" spans="1:5" x14ac:dyDescent="0.3">
      <c r="A56" s="316" t="s">
        <v>184</v>
      </c>
      <c r="B56" s="316" t="s">
        <v>185</v>
      </c>
      <c r="C56" s="316" t="s">
        <v>186</v>
      </c>
      <c r="D56" s="316" t="s">
        <v>187</v>
      </c>
      <c r="E56" s="316" t="str">
        <f>tabIdiomas26[[#This Row],[Cadena]]</f>
        <v>Persoal Propio</v>
      </c>
    </row>
    <row r="57" spans="1:5" x14ac:dyDescent="0.3">
      <c r="A57" s="316" t="s">
        <v>188</v>
      </c>
      <c r="B57" s="316" t="s">
        <v>189</v>
      </c>
      <c r="C57" s="316" t="s">
        <v>190</v>
      </c>
      <c r="D57" s="316" t="s">
        <v>188</v>
      </c>
      <c r="E57" s="316" t="str">
        <f>tabIdiomas26[[#This Row],[Cadena]]</f>
        <v>Subcontratación</v>
      </c>
    </row>
    <row r="58" spans="1:5" x14ac:dyDescent="0.3">
      <c r="A58" s="316" t="s">
        <v>191</v>
      </c>
      <c r="B58" s="316" t="s">
        <v>668</v>
      </c>
      <c r="C58" s="316" t="s">
        <v>192</v>
      </c>
      <c r="D58" s="316" t="s">
        <v>193</v>
      </c>
      <c r="E58" s="316" t="str">
        <f>tabIdiomas26[[#This Row],[Cadena]]</f>
        <v>Compras de Materiais e Servizos (Si/Non)</v>
      </c>
    </row>
    <row r="59" spans="1:5" x14ac:dyDescent="0.3">
      <c r="A59" s="316" t="s">
        <v>194</v>
      </c>
      <c r="B59" s="316" t="s">
        <v>671</v>
      </c>
      <c r="C59" s="316" t="s">
        <v>195</v>
      </c>
      <c r="D59" s="316" t="s">
        <v>196</v>
      </c>
      <c r="E59" s="316" t="str">
        <f>tabIdiomas26[[#This Row],[Cadena]]</f>
        <v>Realización das Labores de Xestión</v>
      </c>
    </row>
    <row r="60" spans="1:5" x14ac:dyDescent="0.3">
      <c r="A60" s="316" t="s">
        <v>197</v>
      </c>
      <c r="B60" s="316" t="s">
        <v>658</v>
      </c>
      <c r="C60" s="316" t="s">
        <v>198</v>
      </c>
      <c r="D60" s="316" t="s">
        <v>197</v>
      </c>
      <c r="E60" s="316" t="str">
        <f>tabIdiomas26[[#This Row],[Cadena]]</f>
        <v>Unidades</v>
      </c>
    </row>
    <row r="61" spans="1:5" x14ac:dyDescent="0.3">
      <c r="A61" s="317" t="s">
        <v>199</v>
      </c>
      <c r="B61" s="316" t="s">
        <v>659</v>
      </c>
      <c r="C61" s="316" t="s">
        <v>660</v>
      </c>
      <c r="D61" s="317" t="s">
        <v>661</v>
      </c>
      <c r="E61" s="316" t="s">
        <v>661</v>
      </c>
    </row>
    <row r="62" spans="1:5" x14ac:dyDescent="0.3">
      <c r="A62" s="317" t="s">
        <v>1693</v>
      </c>
      <c r="B62" s="316" t="s">
        <v>1751</v>
      </c>
      <c r="C62" s="316" t="s">
        <v>1745</v>
      </c>
      <c r="D62" s="317" t="s">
        <v>1746</v>
      </c>
      <c r="E62" s="316" t="str">
        <f>tabIdiomas26[[#This Row],[Cadena]]</f>
        <v>Instalacións (Excluído o Inversor)</v>
      </c>
    </row>
    <row r="63" spans="1:5" x14ac:dyDescent="0.3">
      <c r="A63" s="317" t="s">
        <v>1694</v>
      </c>
      <c r="B63" s="316" t="s">
        <v>1752</v>
      </c>
      <c r="C63" s="316" t="s">
        <v>1747</v>
      </c>
      <c r="D63" s="317" t="s">
        <v>1748</v>
      </c>
      <c r="E63" s="316" t="str">
        <f>tabIdiomas26[[#This Row],[Cadena]]</f>
        <v>Inversor (Investimento Inicial)</v>
      </c>
    </row>
    <row r="64" spans="1:5" x14ac:dyDescent="0.3">
      <c r="A64" s="317" t="s">
        <v>1695</v>
      </c>
      <c r="B64" s="316" t="s">
        <v>1753</v>
      </c>
      <c r="C64" s="316" t="s">
        <v>1749</v>
      </c>
      <c r="D64" s="317" t="s">
        <v>1750</v>
      </c>
      <c r="E64" s="316" t="str">
        <f>tabIdiomas26[[#This Row],[Cadena]]</f>
        <v>Inversor (Renovacións)</v>
      </c>
    </row>
    <row r="65" spans="1:5" ht="28.8" x14ac:dyDescent="0.3">
      <c r="A65" s="316" t="s">
        <v>200</v>
      </c>
      <c r="B65" s="316" t="s">
        <v>201</v>
      </c>
      <c r="C65" s="316" t="s">
        <v>202</v>
      </c>
      <c r="D65" s="316" t="s">
        <v>203</v>
      </c>
      <c r="E65" s="316" t="str">
        <f>tabIdiomas26[[#This Row],[Cadena]]</f>
        <v>Desglose do Investimento: Datos Relativos ao Inversor</v>
      </c>
    </row>
    <row r="66" spans="1:5" ht="28.8" x14ac:dyDescent="0.3">
      <c r="A66" s="316" t="s">
        <v>204</v>
      </c>
      <c r="B66" s="316" t="s">
        <v>205</v>
      </c>
      <c r="C66" s="316" t="s">
        <v>206</v>
      </c>
      <c r="D66" s="316" t="s">
        <v>207</v>
      </c>
      <c r="E66" s="316" t="str">
        <f>tabIdiomas26[[#This Row],[Cadena]]</f>
        <v>Investimento Inversor (% s/ Invest. Inicial en Instalacións)</v>
      </c>
    </row>
    <row r="67" spans="1:5" ht="28.8" x14ac:dyDescent="0.3">
      <c r="A67" s="316" t="s">
        <v>208</v>
      </c>
      <c r="B67" s="316" t="s">
        <v>209</v>
      </c>
      <c r="C67" s="316" t="s">
        <v>210</v>
      </c>
      <c r="D67" s="316" t="s">
        <v>211</v>
      </c>
      <c r="E67" s="316" t="str">
        <f>tabIdiomas26[[#This Row],[Cadena]]</f>
        <v>Prazo Invest. Inversor (Vida Útil Estimada)</v>
      </c>
    </row>
    <row r="68" spans="1:5" x14ac:dyDescent="0.3">
      <c r="A68" s="317" t="s">
        <v>212</v>
      </c>
      <c r="B68" s="316" t="s">
        <v>662</v>
      </c>
      <c r="C68" s="316" t="s">
        <v>213</v>
      </c>
      <c r="D68" s="316" t="s">
        <v>214</v>
      </c>
      <c r="E68" s="316" t="str">
        <f>tabIdiomas26[[#This Row],[Cadena]]</f>
        <v>Compras de Outros Aprovisionamentos</v>
      </c>
    </row>
    <row r="69" spans="1:5" ht="28.8" x14ac:dyDescent="0.3">
      <c r="A69" s="316" t="s">
        <v>215</v>
      </c>
      <c r="B69" s="316" t="s">
        <v>663</v>
      </c>
      <c r="C69" s="316" t="s">
        <v>216</v>
      </c>
      <c r="D69" s="316" t="s">
        <v>217</v>
      </c>
      <c r="E69" s="316" t="str">
        <f>tabIdiomas26[[#This Row],[Cadena]]</f>
        <v>Compras de Elementos e Conxuntos Incorporables</v>
      </c>
    </row>
    <row r="70" spans="1:5" x14ac:dyDescent="0.3">
      <c r="A70" s="316" t="s">
        <v>218</v>
      </c>
      <c r="B70" s="316" t="s">
        <v>219</v>
      </c>
      <c r="C70" s="316" t="s">
        <v>220</v>
      </c>
      <c r="D70" s="316" t="s">
        <v>218</v>
      </c>
      <c r="E70" s="316" t="str">
        <f>tabIdiomas26[[#This Row],[Cadena]]</f>
        <v>Subvención Pública</v>
      </c>
    </row>
    <row r="71" spans="1:5" x14ac:dyDescent="0.3">
      <c r="A71" s="316" t="s">
        <v>221</v>
      </c>
      <c r="B71" s="316" t="s">
        <v>222</v>
      </c>
      <c r="C71" s="316" t="s">
        <v>223</v>
      </c>
      <c r="D71" s="316" t="s">
        <v>224</v>
      </c>
      <c r="E71" s="316" t="str">
        <f>tabIdiomas26[[#This Row],[Cadena]]</f>
        <v>Subvención Pública (Si / Non)</v>
      </c>
    </row>
    <row r="72" spans="1:5" ht="28.8" x14ac:dyDescent="0.3">
      <c r="A72" s="316" t="s">
        <v>225</v>
      </c>
      <c r="B72" s="316" t="s">
        <v>226</v>
      </c>
      <c r="C72" s="316" t="s">
        <v>227</v>
      </c>
      <c r="D72" s="316" t="s">
        <v>228</v>
      </c>
      <c r="E72" s="316" t="str">
        <f>tabIdiomas26[[#This Row],[Cadena]]</f>
        <v>Ratio de Subvención (Subv. -%- s/  -Invest. Inicial en Instalac.)</v>
      </c>
    </row>
    <row r="73" spans="1:5" x14ac:dyDescent="0.3">
      <c r="A73" s="316" t="s">
        <v>229</v>
      </c>
      <c r="B73" s="316" t="s">
        <v>230</v>
      </c>
      <c r="C73" s="316" t="s">
        <v>231</v>
      </c>
      <c r="D73" s="316" t="s">
        <v>232</v>
      </c>
      <c r="E73" s="316" t="str">
        <f>tabIdiomas26[[#This Row],[Cadena]]</f>
        <v>Composición da Base de Socios</v>
      </c>
    </row>
    <row r="74" spans="1:5" x14ac:dyDescent="0.3">
      <c r="A74" s="316" t="s">
        <v>792</v>
      </c>
      <c r="B74" s="316" t="s">
        <v>1755</v>
      </c>
      <c r="C74" s="316" t="s">
        <v>1754</v>
      </c>
      <c r="D74" s="316" t="s">
        <v>792</v>
      </c>
      <c r="E74" s="316" t="str">
        <f>tabIdiomas26[[#This Row],[Cadena]]</f>
        <v>Número de Socios</v>
      </c>
    </row>
    <row r="75" spans="1:5" ht="28.5" customHeight="1" x14ac:dyDescent="0.3">
      <c r="A75" s="316" t="s">
        <v>233</v>
      </c>
      <c r="B75" s="316" t="s">
        <v>234</v>
      </c>
      <c r="C75" s="316" t="s">
        <v>235</v>
      </c>
      <c r="D75" s="316" t="s">
        <v>233</v>
      </c>
      <c r="E75" s="316" t="str">
        <f>tabIdiomas26[[#This Row],[Cadena]]</f>
        <v>% S/Total de Socios</v>
      </c>
    </row>
    <row r="76" spans="1:5" x14ac:dyDescent="0.3">
      <c r="A76" s="316" t="s">
        <v>236</v>
      </c>
      <c r="B76" s="316" t="s">
        <v>237</v>
      </c>
      <c r="C76" s="316" t="s">
        <v>238</v>
      </c>
      <c r="D76" s="316" t="s">
        <v>236</v>
      </c>
      <c r="E76" s="316" t="str">
        <f>tabIdiomas26[[#This Row],[Cadena]]</f>
        <v>Proporción de Socios Segmento Residencial</v>
      </c>
    </row>
    <row r="77" spans="1:5" x14ac:dyDescent="0.3">
      <c r="A77" s="316" t="s">
        <v>239</v>
      </c>
      <c r="B77" s="316" t="s">
        <v>240</v>
      </c>
      <c r="C77" s="316" t="s">
        <v>241</v>
      </c>
      <c r="D77" s="316" t="s">
        <v>242</v>
      </c>
      <c r="E77" s="316" t="str">
        <f>tabIdiomas26[[#This Row],[Cadena]]</f>
        <v>Cotas de Socios e Outros Ingresos Mensuais</v>
      </c>
    </row>
    <row r="78" spans="1:5" x14ac:dyDescent="0.3">
      <c r="A78" s="316" t="s">
        <v>243</v>
      </c>
      <c r="B78" s="316" t="s">
        <v>244</v>
      </c>
      <c r="C78" s="316" t="s">
        <v>245</v>
      </c>
      <c r="D78" s="316" t="s">
        <v>246</v>
      </c>
      <c r="E78" s="316" t="str">
        <f>tabIdiomas26[[#This Row],[Cadena]]</f>
        <v>Cota Extraord. Primeiro Ano (€/Mes)</v>
      </c>
    </row>
    <row r="79" spans="1:5" ht="28.5" customHeight="1" x14ac:dyDescent="0.3">
      <c r="A79" s="316" t="s">
        <v>247</v>
      </c>
      <c r="B79" s="316" t="s">
        <v>248</v>
      </c>
      <c r="C79" s="316" t="s">
        <v>249</v>
      </c>
      <c r="D79" s="316" t="s">
        <v>250</v>
      </c>
      <c r="E79" s="316" t="str">
        <f>tabIdiomas26[[#This Row],[Cadena]]</f>
        <v>Outros Ingresos Mensuais (€/Mes)</v>
      </c>
    </row>
    <row r="80" spans="1:5" ht="28.8" x14ac:dyDescent="0.3">
      <c r="A80" s="316" t="s">
        <v>251</v>
      </c>
      <c r="B80" s="316" t="s">
        <v>252</v>
      </c>
      <c r="C80" s="316" t="s">
        <v>253</v>
      </c>
      <c r="D80" s="316" t="s">
        <v>254</v>
      </c>
      <c r="E80" s="316" t="str">
        <f>tabIdiomas26[[#This Row],[Cadena]]</f>
        <v>Impacto Fiscal Trasladado a Cotas de Socios (Si/Non)</v>
      </c>
    </row>
    <row r="81" spans="1:5" x14ac:dyDescent="0.3">
      <c r="A81" s="317" t="s">
        <v>255</v>
      </c>
      <c r="B81" s="316" t="s">
        <v>664</v>
      </c>
      <c r="C81" s="316" t="s">
        <v>256</v>
      </c>
      <c r="D81" s="316" t="s">
        <v>255</v>
      </c>
      <c r="E81" s="316" t="str">
        <f>tabIdiomas26[[#This Row],[Cadena]]</f>
        <v>Compras de Combustibles</v>
      </c>
    </row>
    <row r="82" spans="1:5" x14ac:dyDescent="0.3">
      <c r="A82" s="317" t="s">
        <v>257</v>
      </c>
      <c r="B82" s="316" t="s">
        <v>665</v>
      </c>
      <c r="C82" s="316" t="s">
        <v>258</v>
      </c>
      <c r="D82" s="316" t="s">
        <v>259</v>
      </c>
      <c r="E82" s="316" t="str">
        <f>tabIdiomas26[[#This Row],[Cadena]]</f>
        <v>Compras de Repostos</v>
      </c>
    </row>
    <row r="83" spans="1:5" x14ac:dyDescent="0.3">
      <c r="A83" s="317" t="s">
        <v>260</v>
      </c>
      <c r="B83" s="316" t="s">
        <v>261</v>
      </c>
      <c r="C83" s="316" t="s">
        <v>262</v>
      </c>
      <c r="D83" s="316" t="s">
        <v>263</v>
      </c>
      <c r="E83" s="316" t="str">
        <f>tabIdiomas26[[#This Row],[Cadena]]</f>
        <v>Compras de Materiais Diversos</v>
      </c>
    </row>
    <row r="84" spans="1:5" x14ac:dyDescent="0.3">
      <c r="A84" s="317" t="s">
        <v>264</v>
      </c>
      <c r="B84" s="316" t="s">
        <v>666</v>
      </c>
      <c r="C84" s="316" t="s">
        <v>265</v>
      </c>
      <c r="D84" s="316" t="s">
        <v>264</v>
      </c>
      <c r="E84" s="316" t="str">
        <f>tabIdiomas26[[#This Row],[Cadena]]</f>
        <v>Compras de Material de Oficina</v>
      </c>
    </row>
    <row r="85" spans="1:5" x14ac:dyDescent="0.3">
      <c r="A85" s="317" t="s">
        <v>266</v>
      </c>
      <c r="B85" s="316" t="s">
        <v>667</v>
      </c>
      <c r="C85" s="316" t="s">
        <v>267</v>
      </c>
      <c r="D85" s="316" t="s">
        <v>268</v>
      </c>
      <c r="E85" s="316" t="str">
        <f>tabIdiomas26[[#This Row],[Cadena]]</f>
        <v>Traballos realizados por Outras Empresas</v>
      </c>
    </row>
    <row r="86" spans="1:5" x14ac:dyDescent="0.3">
      <c r="A86" s="317" t="s">
        <v>1705</v>
      </c>
      <c r="B86" s="316" t="s">
        <v>1762</v>
      </c>
      <c r="C86" s="316" t="s">
        <v>1758</v>
      </c>
      <c r="D86" s="316" t="s">
        <v>1759</v>
      </c>
      <c r="E86" s="316" t="str">
        <f>tabIdiomas26[[#This Row],[Cadena]]</f>
        <v>Produción Enerxética</v>
      </c>
    </row>
    <row r="87" spans="1:5" x14ac:dyDescent="0.3">
      <c r="A87" s="317" t="s">
        <v>1697</v>
      </c>
      <c r="B87" s="316" t="s">
        <v>1763</v>
      </c>
      <c r="C87" s="316" t="s">
        <v>1760</v>
      </c>
      <c r="D87" s="316" t="s">
        <v>1761</v>
      </c>
      <c r="E87" s="316" t="str">
        <f>tabIdiomas26[[#This Row],[Cadena]]</f>
        <v>Enerxía Producida (KWh)</v>
      </c>
    </row>
    <row r="88" spans="1:5" x14ac:dyDescent="0.3">
      <c r="A88" s="317" t="s">
        <v>1702</v>
      </c>
      <c r="B88" s="316" t="s">
        <v>1773</v>
      </c>
      <c r="C88" s="316" t="s">
        <v>1765</v>
      </c>
      <c r="D88" s="316" t="s">
        <v>1768</v>
      </c>
      <c r="E88" s="316" t="str">
        <f>tabIdiomas26[[#This Row],[Cadena]]</f>
        <v>Enerxía Autoconsumida (KWh)</v>
      </c>
    </row>
    <row r="89" spans="1:5" x14ac:dyDescent="0.3">
      <c r="A89" s="317" t="s">
        <v>1703</v>
      </c>
      <c r="B89" s="316" t="s">
        <v>1774</v>
      </c>
      <c r="C89" s="316" t="s">
        <v>1766</v>
      </c>
      <c r="D89" s="316" t="s">
        <v>1770</v>
      </c>
      <c r="E89" s="316" t="str">
        <f>tabIdiomas26[[#This Row],[Cadena]]</f>
        <v>Enerxía Compensada (KWh)</v>
      </c>
    </row>
    <row r="90" spans="1:5" x14ac:dyDescent="0.3">
      <c r="A90" s="317" t="s">
        <v>1704</v>
      </c>
      <c r="B90" s="316" t="s">
        <v>1775</v>
      </c>
      <c r="C90" s="316" t="s">
        <v>1767</v>
      </c>
      <c r="D90" s="316" t="s">
        <v>1769</v>
      </c>
      <c r="E90" s="316" t="str">
        <f>tabIdiomas26[[#This Row],[Cadena]]</f>
        <v>Enerxía Vendida (KWh)</v>
      </c>
    </row>
    <row r="91" spans="1:5" ht="28.8" x14ac:dyDescent="0.3">
      <c r="A91" s="317" t="s">
        <v>1772</v>
      </c>
      <c r="B91" s="316" t="s">
        <v>1777</v>
      </c>
      <c r="C91" s="316" t="s">
        <v>1776</v>
      </c>
      <c r="D91" s="316" t="s">
        <v>1771</v>
      </c>
      <c r="E91" s="316" t="str">
        <f>tabIdiomas26[[#This Row],[Cadena]]</f>
        <v>Enerxía Vertida á Rede sen Contraprestación Económica (KWh)</v>
      </c>
    </row>
    <row r="92" spans="1:5" x14ac:dyDescent="0.3">
      <c r="A92" s="317" t="s">
        <v>269</v>
      </c>
      <c r="B92" s="316" t="s">
        <v>1764</v>
      </c>
      <c r="C92" s="316" t="s">
        <v>271</v>
      </c>
      <c r="D92" s="316" t="s">
        <v>272</v>
      </c>
      <c r="E92" s="316" t="str">
        <f>tabIdiomas26[[#This Row],[Cadena]]</f>
        <v>Hipóteses Relativas á Enerxía</v>
      </c>
    </row>
    <row r="93" spans="1:5" x14ac:dyDescent="0.3">
      <c r="A93" s="317" t="s">
        <v>1700</v>
      </c>
      <c r="B93" s="316" t="s">
        <v>1787</v>
      </c>
      <c r="C93" s="316" t="s">
        <v>1778</v>
      </c>
      <c r="D93" s="316" t="s">
        <v>1779</v>
      </c>
      <c r="E93" s="316" t="str">
        <f>tabIdiomas26[[#This Row],[Cadena]]</f>
        <v>Prezos da Enerxía</v>
      </c>
    </row>
    <row r="94" spans="1:5" x14ac:dyDescent="0.3">
      <c r="A94" s="317" t="s">
        <v>1698</v>
      </c>
      <c r="B94" s="316" t="s">
        <v>1788</v>
      </c>
      <c r="C94" s="316" t="s">
        <v>1780</v>
      </c>
      <c r="D94" s="316" t="s">
        <v>1781</v>
      </c>
      <c r="E94" s="316" t="str">
        <f>tabIdiomas26[[#This Row],[Cadena]]</f>
        <v>Prezo de Mercado da Electricidade (€/KWh)</v>
      </c>
    </row>
    <row r="95" spans="1:5" ht="30" customHeight="1" x14ac:dyDescent="0.3">
      <c r="A95" s="317" t="s">
        <v>1784</v>
      </c>
      <c r="B95" s="316" t="s">
        <v>1789</v>
      </c>
      <c r="C95" s="316" t="s">
        <v>1782</v>
      </c>
      <c r="D95" s="316" t="s">
        <v>1783</v>
      </c>
      <c r="E95" s="316" t="str">
        <f>tabIdiomas26[[#This Row],[Cadena]]</f>
        <v>Prezo Aplicado na Compensación da Electricidade (€/KWh)</v>
      </c>
    </row>
    <row r="96" spans="1:5" ht="36" customHeight="1" x14ac:dyDescent="0.3">
      <c r="A96" s="317" t="s">
        <v>1699</v>
      </c>
      <c r="B96" s="316" t="s">
        <v>1790</v>
      </c>
      <c r="C96" s="316" t="s">
        <v>1785</v>
      </c>
      <c r="D96" s="316" t="s">
        <v>1786</v>
      </c>
      <c r="E96" s="316" t="str">
        <f>tabIdiomas26[[#This Row],[Cadena]]</f>
        <v>Prezo Aplicado á Venda da Electricidade (€/KWh)</v>
      </c>
    </row>
    <row r="97" spans="1:5" ht="36.75" customHeight="1" x14ac:dyDescent="0.3">
      <c r="A97" s="317" t="s">
        <v>273</v>
      </c>
      <c r="B97" s="316" t="s">
        <v>274</v>
      </c>
      <c r="C97" s="316" t="s">
        <v>275</v>
      </c>
      <c r="D97" s="316" t="s">
        <v>276</v>
      </c>
      <c r="E97" s="316" t="str">
        <f>tabIdiomas26[[#This Row],[Cadena]]</f>
        <v>Prezo de Referencia de Mercado da Electricidade (€/MWh)</v>
      </c>
    </row>
    <row r="98" spans="1:5" x14ac:dyDescent="0.3">
      <c r="A98" s="317" t="s">
        <v>277</v>
      </c>
      <c r="B98" s="316" t="s">
        <v>278</v>
      </c>
      <c r="C98" s="316" t="s">
        <v>180</v>
      </c>
      <c r="D98" s="316" t="s">
        <v>279</v>
      </c>
      <c r="E98" s="316" t="str">
        <f>tabIdiomas26[[#This Row],[Cadena]]</f>
        <v>GASTOS: Gastos de Persoal</v>
      </c>
    </row>
    <row r="99" spans="1:5" ht="28.8" x14ac:dyDescent="0.3">
      <c r="A99" s="317" t="s">
        <v>280</v>
      </c>
      <c r="B99" s="316" t="s">
        <v>651</v>
      </c>
      <c r="C99" s="316" t="s">
        <v>281</v>
      </c>
      <c r="D99" s="316" t="s">
        <v>282</v>
      </c>
      <c r="E99" s="316" t="str">
        <f>tabIdiomas26[[#This Row],[Cadena]]</f>
        <v>Número de Empregados a Xornada Completa Equivalentes</v>
      </c>
    </row>
    <row r="100" spans="1:5" ht="28.8" x14ac:dyDescent="0.3">
      <c r="A100" s="317" t="s">
        <v>283</v>
      </c>
      <c r="B100" s="316" t="s">
        <v>652</v>
      </c>
      <c r="C100" s="316" t="s">
        <v>284</v>
      </c>
      <c r="D100" s="316" t="s">
        <v>285</v>
      </c>
      <c r="E100" s="316" t="str">
        <f>tabIdiomas26[[#This Row],[Cadena]]</f>
        <v>Seguridade Social a cargo da Empresa</v>
      </c>
    </row>
    <row r="101" spans="1:5" x14ac:dyDescent="0.3">
      <c r="A101" s="317" t="s">
        <v>286</v>
      </c>
      <c r="B101" s="316" t="s">
        <v>653</v>
      </c>
      <c r="C101" s="316" t="s">
        <v>287</v>
      </c>
      <c r="D101" s="316" t="s">
        <v>288</v>
      </c>
      <c r="E101" s="316" t="str">
        <f>tabIdiomas26[[#This Row],[Cadena]]</f>
        <v>Outros gastos sociais</v>
      </c>
    </row>
    <row r="102" spans="1:5" ht="28.8" x14ac:dyDescent="0.3">
      <c r="A102" s="317" t="s">
        <v>289</v>
      </c>
      <c r="B102" s="316" t="s">
        <v>290</v>
      </c>
      <c r="C102" s="316" t="s">
        <v>291</v>
      </c>
      <c r="D102" s="316" t="s">
        <v>292</v>
      </c>
      <c r="E102" s="316" t="str">
        <f>tabIdiomas26[[#This Row],[Cadena]]</f>
        <v>Prezo Autoconsumo (% sobre Prezo Medio)</v>
      </c>
    </row>
    <row r="103" spans="1:5" ht="28.5" customHeight="1" x14ac:dyDescent="0.3">
      <c r="A103" s="317" t="s">
        <v>293</v>
      </c>
      <c r="B103" s="316" t="s">
        <v>294</v>
      </c>
      <c r="C103" s="316" t="s">
        <v>295</v>
      </c>
      <c r="D103" s="316" t="s">
        <v>296</v>
      </c>
      <c r="E103" s="316" t="str">
        <f>tabIdiomas26[[#This Row],[Cadena]]</f>
        <v>Prezo Compensación (% sobre Prezo Medio)</v>
      </c>
    </row>
    <row r="104" spans="1:5" ht="34.5" customHeight="1" x14ac:dyDescent="0.3">
      <c r="A104" s="317" t="s">
        <v>297</v>
      </c>
      <c r="B104" s="316" t="s">
        <v>298</v>
      </c>
      <c r="C104" s="316" t="s">
        <v>299</v>
      </c>
      <c r="D104" s="316" t="s">
        <v>300</v>
      </c>
      <c r="E104" s="316" t="str">
        <f>tabIdiomas26[[#This Row],[Cadena]]</f>
        <v>Prezo Venda (% sobre Prezo Medio)</v>
      </c>
    </row>
    <row r="105" spans="1:5" ht="28.8" x14ac:dyDescent="0.3">
      <c r="A105" s="317" t="s">
        <v>301</v>
      </c>
      <c r="B105" s="316" t="s">
        <v>654</v>
      </c>
      <c r="C105" s="316" t="s">
        <v>302</v>
      </c>
      <c r="D105" s="316" t="s">
        <v>303</v>
      </c>
      <c r="E105" s="316" t="str">
        <f>tabIdiomas26[[#This Row],[Cadena]]</f>
        <v>Compensación ou Venda da Enerxía</v>
      </c>
    </row>
    <row r="106" spans="1:5" x14ac:dyDescent="0.3">
      <c r="A106" s="317" t="s">
        <v>304</v>
      </c>
      <c r="B106" s="316" t="s">
        <v>655</v>
      </c>
      <c r="C106" s="316" t="s">
        <v>305</v>
      </c>
      <c r="D106" s="316" t="s">
        <v>304</v>
      </c>
      <c r="E106" s="316" t="str">
        <f>tabIdiomas26[[#This Row],[Cadena]]</f>
        <v>Compensación</v>
      </c>
    </row>
    <row r="107" spans="1:5" x14ac:dyDescent="0.3">
      <c r="A107" s="317" t="s">
        <v>306</v>
      </c>
      <c r="B107" s="316" t="s">
        <v>307</v>
      </c>
      <c r="C107" s="316" t="s">
        <v>8</v>
      </c>
      <c r="D107" s="316" t="s">
        <v>308</v>
      </c>
      <c r="E107" s="316" t="str">
        <f>tabIdiomas26[[#This Row],[Cadena]]</f>
        <v>Venda</v>
      </c>
    </row>
    <row r="108" spans="1:5" ht="28.8" x14ac:dyDescent="0.3">
      <c r="A108" s="317" t="s">
        <v>309</v>
      </c>
      <c r="B108" s="316" t="s">
        <v>310</v>
      </c>
      <c r="C108" s="316" t="s">
        <v>311</v>
      </c>
      <c r="D108" s="316" t="s">
        <v>312</v>
      </c>
      <c r="E108" s="316" t="str">
        <f>tabIdiomas26[[#This Row],[Cadena]]</f>
        <v>Porcentaxe Esóxena de Aforro sobre Consumo Total (%)</v>
      </c>
    </row>
    <row r="109" spans="1:5" x14ac:dyDescent="0.3">
      <c r="A109" s="317" t="s">
        <v>313</v>
      </c>
      <c r="B109" s="316" t="s">
        <v>314</v>
      </c>
      <c r="C109" s="316" t="s">
        <v>315</v>
      </c>
      <c r="D109" s="316" t="s">
        <v>316</v>
      </c>
      <c r="E109" s="316" t="str">
        <f>tabIdiomas26[[#This Row],[Cadena]]</f>
        <v>Batería Virtual (Si / Non)</v>
      </c>
    </row>
    <row r="110" spans="1:5" ht="57.6" x14ac:dyDescent="0.3">
      <c r="A110" s="317" t="s">
        <v>317</v>
      </c>
      <c r="B110" s="316" t="s">
        <v>318</v>
      </c>
      <c r="C110" s="316" t="s">
        <v>319</v>
      </c>
      <c r="D110" s="316" t="s">
        <v>320</v>
      </c>
      <c r="E110" s="316" t="str">
        <f>tabIdiomas26[[#This Row],[Cadena]]</f>
        <v>Proporción da Enerxía Compensada que se Retribuiría Económicamente pola Comercializadora de NON existir Batería Virtual</v>
      </c>
    </row>
    <row r="111" spans="1:5" ht="28.8" x14ac:dyDescent="0.3">
      <c r="A111" s="317" t="s">
        <v>321</v>
      </c>
      <c r="B111" s="316" t="s">
        <v>322</v>
      </c>
      <c r="C111" s="316" t="s">
        <v>323</v>
      </c>
      <c r="D111" s="316" t="s">
        <v>324</v>
      </c>
      <c r="E111" s="316" t="str">
        <f>tabIdiomas26[[#This Row],[Cadena]]</f>
        <v>Proporción Autoconsumo s/ Enerxía Xerada (Mix Resid-Empr. Equilibrado)</v>
      </c>
    </row>
    <row r="112" spans="1:5" ht="43.2" x14ac:dyDescent="0.3">
      <c r="A112" s="317" t="s">
        <v>325</v>
      </c>
      <c r="B112" s="316" t="s">
        <v>326</v>
      </c>
      <c r="C112" s="316" t="s">
        <v>327</v>
      </c>
      <c r="D112" s="316" t="s">
        <v>328</v>
      </c>
      <c r="E112" s="316" t="str">
        <f>tabIdiomas26[[#This Row],[Cadena]]</f>
        <v>Proporción Autoconsumo s/ Enerxía Xerada (Mix Resid-Empr. Parcialmente Equilibrado)</v>
      </c>
    </row>
    <row r="113" spans="1:5" ht="43.2" x14ac:dyDescent="0.3">
      <c r="A113" s="317" t="s">
        <v>329</v>
      </c>
      <c r="B113" s="316" t="s">
        <v>330</v>
      </c>
      <c r="C113" s="316" t="s">
        <v>331</v>
      </c>
      <c r="D113" s="316" t="s">
        <v>332</v>
      </c>
      <c r="E113" s="316" t="str">
        <f>tabIdiomas26[[#This Row],[Cadena]]</f>
        <v>Proporción Autoconsumo s/ Enerxía Xerada (Mix Resid-Empr. Desequilibrado)</v>
      </c>
    </row>
    <row r="114" spans="1:5" x14ac:dyDescent="0.3">
      <c r="A114" s="317" t="s">
        <v>904</v>
      </c>
      <c r="B114" s="316" t="s">
        <v>1721</v>
      </c>
      <c r="C114" s="316" t="s">
        <v>1722</v>
      </c>
      <c r="D114" s="316" t="s">
        <v>1723</v>
      </c>
      <c r="E114" s="316" t="str">
        <f>tabIdiomas26[[#This Row],[Cadena]]</f>
        <v>Soldos e Salarios</v>
      </c>
    </row>
    <row r="115" spans="1:5" x14ac:dyDescent="0.3">
      <c r="A115" s="317" t="s">
        <v>333</v>
      </c>
      <c r="B115" s="316" t="s">
        <v>669</v>
      </c>
      <c r="C115" s="316" t="s">
        <v>334</v>
      </c>
      <c r="D115" s="316" t="s">
        <v>670</v>
      </c>
      <c r="E115" s="316" t="s">
        <v>670</v>
      </c>
    </row>
    <row r="116" spans="1:5" ht="28.8" x14ac:dyDescent="0.3">
      <c r="A116" s="317" t="s">
        <v>335</v>
      </c>
      <c r="B116" s="316" t="s">
        <v>672</v>
      </c>
      <c r="C116" s="316" t="s">
        <v>336</v>
      </c>
      <c r="D116" s="316" t="s">
        <v>337</v>
      </c>
      <c r="E116" s="316" t="str">
        <f>tabIdiomas26[[#This Row],[Cadena]]</f>
        <v>GASTOS: Gastos en Servizos Exteriores (Excl. Outros Servicios)</v>
      </c>
    </row>
    <row r="117" spans="1:5" ht="28.8" x14ac:dyDescent="0.3">
      <c r="A117" s="317" t="s">
        <v>338</v>
      </c>
      <c r="B117" s="316" t="s">
        <v>673</v>
      </c>
      <c r="C117" s="316" t="s">
        <v>339</v>
      </c>
      <c r="D117" s="316" t="s">
        <v>340</v>
      </c>
      <c r="E117" s="316" t="str">
        <f>tabIdiomas26[[#This Row],[Cadena]]</f>
        <v>Arrendamentos e Cánones (Aluguer terreos)</v>
      </c>
    </row>
    <row r="118" spans="1:5" ht="28.8" x14ac:dyDescent="0.3">
      <c r="A118" s="317" t="s">
        <v>341</v>
      </c>
      <c r="B118" s="316" t="s">
        <v>674</v>
      </c>
      <c r="C118" s="316" t="s">
        <v>342</v>
      </c>
      <c r="D118" s="316" t="s">
        <v>343</v>
      </c>
      <c r="E118" s="316" t="str">
        <f>tabIdiomas26[[#This Row],[Cadena]]</f>
        <v>Reparacións e Mantemento das Instalacións</v>
      </c>
    </row>
    <row r="119" spans="1:5" x14ac:dyDescent="0.3">
      <c r="A119" s="317" t="s">
        <v>344</v>
      </c>
      <c r="B119" s="316" t="s">
        <v>675</v>
      </c>
      <c r="C119" s="316" t="s">
        <v>345</v>
      </c>
      <c r="D119" s="316" t="s">
        <v>346</v>
      </c>
      <c r="E119" s="316" t="str">
        <f>tabIdiomas26[[#This Row],[Cadena]]</f>
        <v>Reparación das Instalacións</v>
      </c>
    </row>
    <row r="120" spans="1:5" x14ac:dyDescent="0.3">
      <c r="A120" s="317" t="s">
        <v>347</v>
      </c>
      <c r="B120" s="316" t="s">
        <v>676</v>
      </c>
      <c r="C120" s="316" t="s">
        <v>348</v>
      </c>
      <c r="D120" s="316" t="s">
        <v>349</v>
      </c>
      <c r="E120" s="316" t="str">
        <f>tabIdiomas26[[#This Row],[Cadena]]</f>
        <v>Mantemento das Instalacións</v>
      </c>
    </row>
    <row r="121" spans="1:5" ht="43.2" x14ac:dyDescent="0.3">
      <c r="A121" s="317" t="s">
        <v>350</v>
      </c>
      <c r="B121" s="316" t="s">
        <v>677</v>
      </c>
      <c r="C121" s="316" t="s">
        <v>351</v>
      </c>
      <c r="D121" s="316" t="s">
        <v>352</v>
      </c>
      <c r="E121" s="316" t="str">
        <f>tabIdiomas26[[#This Row],[Cadena]]</f>
        <v>Servicios de Profesionais Indep. (Notarios, Avogados, Rexistradores, Economistas, Asesores, etc.)</v>
      </c>
    </row>
    <row r="122" spans="1:5" x14ac:dyDescent="0.3">
      <c r="A122" s="317" t="s">
        <v>353</v>
      </c>
      <c r="B122" s="316" t="s">
        <v>678</v>
      </c>
      <c r="C122" s="316" t="s">
        <v>354</v>
      </c>
      <c r="D122" s="316" t="s">
        <v>355</v>
      </c>
      <c r="E122" s="316" t="str">
        <f>tabIdiomas26[[#This Row],[Cadena]]</f>
        <v>Gastos de Notaría e Rexistro</v>
      </c>
    </row>
    <row r="123" spans="1:5" x14ac:dyDescent="0.3">
      <c r="A123" s="317" t="s">
        <v>356</v>
      </c>
      <c r="B123" s="316" t="s">
        <v>680</v>
      </c>
      <c r="C123" s="316" t="s">
        <v>357</v>
      </c>
      <c r="D123" s="316" t="s">
        <v>358</v>
      </c>
      <c r="E123" s="316" t="str">
        <f>tabIdiomas26[[#This Row],[Cadena]]</f>
        <v>Gastos de Asesoría Xurídica</v>
      </c>
    </row>
    <row r="124" spans="1:5" ht="28.8" x14ac:dyDescent="0.3">
      <c r="A124" s="317" t="s">
        <v>359</v>
      </c>
      <c r="B124" s="316" t="s">
        <v>360</v>
      </c>
      <c r="C124" s="316" t="s">
        <v>361</v>
      </c>
      <c r="D124" s="316" t="s">
        <v>362</v>
      </c>
      <c r="E124" s="316" t="str">
        <f>tabIdiomas26[[#This Row],[Cadena]]</f>
        <v>Gastos de Asesoramento Económico-Financeiro</v>
      </c>
    </row>
    <row r="125" spans="1:5" x14ac:dyDescent="0.3">
      <c r="A125" s="317" t="s">
        <v>363</v>
      </c>
      <c r="B125" s="316" t="s">
        <v>687</v>
      </c>
      <c r="C125" s="316" t="s">
        <v>364</v>
      </c>
      <c r="D125" s="316" t="s">
        <v>365</v>
      </c>
      <c r="E125" s="316" t="str">
        <f>tabIdiomas26[[#This Row],[Cadena]]</f>
        <v>Gastos de Asesoramento Técnico (Enxeñería)</v>
      </c>
    </row>
    <row r="126" spans="1:5" x14ac:dyDescent="0.3">
      <c r="A126" s="317" t="s">
        <v>366</v>
      </c>
      <c r="B126" s="316" t="s">
        <v>367</v>
      </c>
      <c r="C126" s="316" t="s">
        <v>368</v>
      </c>
      <c r="D126" s="316" t="s">
        <v>366</v>
      </c>
      <c r="E126" s="316" t="str">
        <f>tabIdiomas26[[#This Row],[Cadena]]</f>
        <v>Fórmula Desindexación</v>
      </c>
    </row>
    <row r="127" spans="1:5" x14ac:dyDescent="0.3">
      <c r="A127" s="317" t="s">
        <v>369</v>
      </c>
      <c r="B127" s="316" t="s">
        <v>370</v>
      </c>
      <c r="C127" s="316" t="s">
        <v>371</v>
      </c>
      <c r="D127" s="316" t="s">
        <v>369</v>
      </c>
      <c r="E127" s="316" t="str">
        <f>tabIdiomas26[[#This Row],[Cadena]]</f>
        <v>% Anual</v>
      </c>
    </row>
    <row r="128" spans="1:5" ht="28.8" x14ac:dyDescent="0.3">
      <c r="A128" s="317" t="s">
        <v>372</v>
      </c>
      <c r="B128" s="316" t="s">
        <v>373</v>
      </c>
      <c r="C128" s="316" t="s">
        <v>374</v>
      </c>
      <c r="D128" s="316" t="s">
        <v>375</v>
      </c>
      <c r="E128" s="316" t="str">
        <f>tabIdiomas26[[#This Row],[Cadena]]</f>
        <v>Taxa para a Actualización Salarios Sector (= IPC)</v>
      </c>
    </row>
    <row r="129" spans="1:5" ht="28.8" x14ac:dyDescent="0.3">
      <c r="A129" s="317" t="s">
        <v>1707</v>
      </c>
      <c r="B129" s="316" t="s">
        <v>1710</v>
      </c>
      <c r="C129" s="316" t="s">
        <v>1708</v>
      </c>
      <c r="D129" s="316" t="s">
        <v>1709</v>
      </c>
      <c r="E129" s="316" t="str">
        <f>tabIdiomas26[[#This Row],[Cadena]]</f>
        <v>Taxa de Desconto a Aplicar para a Actualización dos Fluxos de Efectivo (%)</v>
      </c>
    </row>
    <row r="130" spans="1:5" ht="28.8" x14ac:dyDescent="0.3">
      <c r="A130" s="317" t="s">
        <v>376</v>
      </c>
      <c r="B130" s="316" t="s">
        <v>377</v>
      </c>
      <c r="C130" s="316" t="s">
        <v>378</v>
      </c>
      <c r="D130" s="316" t="s">
        <v>379</v>
      </c>
      <c r="E130" s="316" t="str">
        <f>tabIdiomas26[[#This Row],[Cadena]]</f>
        <v>Taxa para a Actualización do Custo da Enerxía</v>
      </c>
    </row>
    <row r="131" spans="1:5" ht="28.8" x14ac:dyDescent="0.3">
      <c r="A131" s="317" t="s">
        <v>380</v>
      </c>
      <c r="B131" s="316" t="s">
        <v>381</v>
      </c>
      <c r="C131" s="316" t="s">
        <v>382</v>
      </c>
      <c r="D131" s="316" t="s">
        <v>383</v>
      </c>
      <c r="E131" s="316" t="str">
        <f>tabIdiomas26[[#This Row],[Cadena]]</f>
        <v>Taxa para a Actualización dos Gastos de Explotación Xerais</v>
      </c>
    </row>
    <row r="132" spans="1:5" ht="28.8" x14ac:dyDescent="0.3">
      <c r="A132" s="317" t="s">
        <v>384</v>
      </c>
      <c r="B132" s="316" t="s">
        <v>385</v>
      </c>
      <c r="C132" s="316" t="s">
        <v>386</v>
      </c>
      <c r="D132" s="316" t="s">
        <v>387</v>
      </c>
      <c r="E132" s="316" t="str">
        <f>tabIdiomas26[[#This Row],[Cadena]]</f>
        <v>Taxa para a Actualización de 'Outros Gastos de Explotación'</v>
      </c>
    </row>
    <row r="133" spans="1:5" ht="28.8" x14ac:dyDescent="0.3">
      <c r="A133" s="317" t="s">
        <v>388</v>
      </c>
      <c r="B133" s="316" t="s">
        <v>389</v>
      </c>
      <c r="C133" s="316" t="s">
        <v>390</v>
      </c>
      <c r="D133" s="316" t="s">
        <v>391</v>
      </c>
      <c r="E133" s="316" t="str">
        <f>tabIdiomas26[[#This Row],[Cadena]]</f>
        <v>Taxa de Variación do importe máximo das tarifas</v>
      </c>
    </row>
    <row r="134" spans="1:5" x14ac:dyDescent="0.3">
      <c r="A134" s="317" t="s">
        <v>392</v>
      </c>
      <c r="B134" s="316" t="s">
        <v>692</v>
      </c>
      <c r="C134" s="316" t="s">
        <v>393</v>
      </c>
      <c r="D134" s="316" t="s">
        <v>392</v>
      </c>
      <c r="E134" s="316" t="str">
        <f>tabIdiomas26[[#This Row],[Cadena]]</f>
        <v>Transportes</v>
      </c>
    </row>
    <row r="135" spans="1:5" ht="28.8" x14ac:dyDescent="0.3">
      <c r="A135" s="317" t="s">
        <v>394</v>
      </c>
      <c r="B135" s="316" t="s">
        <v>694</v>
      </c>
      <c r="C135" s="316" t="s">
        <v>395</v>
      </c>
      <c r="D135" s="316" t="s">
        <v>396</v>
      </c>
      <c r="E135" s="316" t="str">
        <f>tabIdiomas26[[#This Row],[Cadena]]</f>
        <v>Primas de Seguros (% do Investimento Inicial, Anual)</v>
      </c>
    </row>
    <row r="136" spans="1:5" x14ac:dyDescent="0.3">
      <c r="A136" s="317" t="s">
        <v>397</v>
      </c>
      <c r="B136" s="316" t="s">
        <v>398</v>
      </c>
      <c r="C136" s="316" t="s">
        <v>399</v>
      </c>
      <c r="D136" s="316" t="s">
        <v>400</v>
      </c>
      <c r="E136" s="316" t="str">
        <f>tabIdiomas26[[#This Row],[Cadena]]</f>
        <v>Servizos Bancarios</v>
      </c>
    </row>
    <row r="137" spans="1:5" x14ac:dyDescent="0.3">
      <c r="A137" s="317" t="s">
        <v>401</v>
      </c>
      <c r="B137" s="316" t="s">
        <v>697</v>
      </c>
      <c r="C137" s="316" t="s">
        <v>1672</v>
      </c>
      <c r="D137" s="316" t="s">
        <v>403</v>
      </c>
      <c r="E137" s="316" t="str">
        <f>tabIdiomas26[[#This Row],[Cadena]]</f>
        <v>Publicidade, Propaganda e RR.PP.</v>
      </c>
    </row>
    <row r="138" spans="1:5" x14ac:dyDescent="0.3">
      <c r="A138" s="317" t="s">
        <v>404</v>
      </c>
      <c r="B138" s="316" t="s">
        <v>698</v>
      </c>
      <c r="C138" s="316" t="s">
        <v>405</v>
      </c>
      <c r="D138" s="316" t="s">
        <v>406</v>
      </c>
      <c r="E138" s="316" t="str">
        <f>tabIdiomas26[[#This Row],[Cadena]]</f>
        <v>Material e Actividades Publicitarias</v>
      </c>
    </row>
    <row r="139" spans="1:5" x14ac:dyDescent="0.3">
      <c r="A139" s="317" t="s">
        <v>407</v>
      </c>
      <c r="B139" s="316" t="s">
        <v>699</v>
      </c>
      <c r="C139" s="316" t="s">
        <v>408</v>
      </c>
      <c r="D139" s="316" t="s">
        <v>407</v>
      </c>
      <c r="E139" s="316" t="str">
        <f>tabIdiomas26[[#This Row],[Cadena]]</f>
        <v>Actividades de Promoción</v>
      </c>
    </row>
    <row r="140" spans="1:5" x14ac:dyDescent="0.3">
      <c r="A140" s="317" t="s">
        <v>409</v>
      </c>
      <c r="B140" s="316" t="s">
        <v>410</v>
      </c>
      <c r="C140" s="316" t="s">
        <v>411</v>
      </c>
      <c r="D140" s="316" t="s">
        <v>412</v>
      </c>
      <c r="E140" s="316" t="str">
        <f>tabIdiomas26[[#This Row],[Cadena]]</f>
        <v>Relacións Públicas</v>
      </c>
    </row>
    <row r="141" spans="1:5" x14ac:dyDescent="0.3">
      <c r="A141" s="317" t="s">
        <v>413</v>
      </c>
      <c r="B141" s="316" t="s">
        <v>700</v>
      </c>
      <c r="C141" s="316" t="s">
        <v>414</v>
      </c>
      <c r="D141" s="316" t="s">
        <v>415</v>
      </c>
      <c r="E141" s="316" t="str">
        <f>tabIdiomas26[[#This Row],[Cadena]]</f>
        <v>Subministros</v>
      </c>
    </row>
    <row r="142" spans="1:5" x14ac:dyDescent="0.3">
      <c r="A142" s="317" t="s">
        <v>416</v>
      </c>
      <c r="B142" s="316" t="s">
        <v>701</v>
      </c>
      <c r="C142" s="316" t="s">
        <v>417</v>
      </c>
      <c r="D142" s="316" t="s">
        <v>418</v>
      </c>
      <c r="E142" s="316" t="str">
        <f>tabIdiomas26[[#This Row],[Cadena]]</f>
        <v>Telefonía Fixa e/ou Móbil</v>
      </c>
    </row>
    <row r="143" spans="1:5" x14ac:dyDescent="0.3">
      <c r="A143" s="317" t="s">
        <v>419</v>
      </c>
      <c r="B143" s="316" t="s">
        <v>702</v>
      </c>
      <c r="C143" s="316" t="s">
        <v>420</v>
      </c>
      <c r="D143" s="316" t="s">
        <v>419</v>
      </c>
      <c r="E143" s="316" t="str">
        <f>tabIdiomas26[[#This Row],[Cadena]]</f>
        <v>Conexión a Internet</v>
      </c>
    </row>
    <row r="144" spans="1:5" ht="28.8" x14ac:dyDescent="0.3">
      <c r="A144" s="317" t="s">
        <v>421</v>
      </c>
      <c r="B144" s="316" t="s">
        <v>703</v>
      </c>
      <c r="C144" s="316" t="s">
        <v>422</v>
      </c>
      <c r="D144" s="316" t="s">
        <v>423</v>
      </c>
      <c r="E144" s="316" t="str">
        <f>tabIdiomas26[[#This Row],[Cadena]]</f>
        <v>Subministro de Electricidade (Termo de Potencia)</v>
      </c>
    </row>
    <row r="145" spans="1:5" ht="28.8" x14ac:dyDescent="0.3">
      <c r="A145" s="317" t="s">
        <v>424</v>
      </c>
      <c r="B145" s="316" t="s">
        <v>704</v>
      </c>
      <c r="C145" s="316" t="s">
        <v>425</v>
      </c>
      <c r="D145" s="316" t="s">
        <v>426</v>
      </c>
      <c r="E145" s="316" t="str">
        <f>tabIdiomas26[[#This Row],[Cadena]]</f>
        <v>Subministro de Electricidade (Termo de Enerxía e Outros)</v>
      </c>
    </row>
    <row r="146" spans="1:5" x14ac:dyDescent="0.3">
      <c r="A146" s="317" t="s">
        <v>427</v>
      </c>
      <c r="B146" s="316" t="s">
        <v>428</v>
      </c>
      <c r="C146" s="316" t="s">
        <v>429</v>
      </c>
      <c r="D146" s="316" t="s">
        <v>430</v>
      </c>
      <c r="E146" s="316" t="str">
        <f>tabIdiomas26[[#This Row],[Cadena]]</f>
        <v>Subministro de Auga Corrente</v>
      </c>
    </row>
    <row r="147" spans="1:5" ht="28.8" x14ac:dyDescent="0.3">
      <c r="A147" s="317" t="s">
        <v>431</v>
      </c>
      <c r="B147" s="316" t="s">
        <v>705</v>
      </c>
      <c r="C147" s="316" t="s">
        <v>432</v>
      </c>
      <c r="D147" s="316" t="s">
        <v>433</v>
      </c>
      <c r="E147" s="316" t="str">
        <f>tabIdiomas26[[#This Row],[Cadena]]</f>
        <v>Necesidade de Conexión a Internet, Propia (Si/Non)</v>
      </c>
    </row>
    <row r="148" spans="1:5" ht="43.2" x14ac:dyDescent="0.3">
      <c r="A148" s="317" t="s">
        <v>434</v>
      </c>
      <c r="B148" s="316" t="s">
        <v>435</v>
      </c>
      <c r="C148" s="316" t="s">
        <v>436</v>
      </c>
      <c r="D148" s="316" t="s">
        <v>437</v>
      </c>
      <c r="E148" s="316" t="str">
        <f>tabIdiomas26[[#This Row],[Cadena]]</f>
        <v>Outras Eventuais Percepcións dos Socios, procedentes da CE, Distintas da Enerxía Producida</v>
      </c>
    </row>
    <row r="149" spans="1:5" x14ac:dyDescent="0.3">
      <c r="A149" s="317" t="s">
        <v>438</v>
      </c>
      <c r="B149" s="316" t="s">
        <v>439</v>
      </c>
      <c r="C149" s="316" t="s">
        <v>440</v>
      </c>
      <c r="D149" s="316" t="s">
        <v>441</v>
      </c>
      <c r="E149" s="316" t="str">
        <f>tabIdiomas26[[#This Row],[Cadena]]</f>
        <v>Valor Anual Conxunto de Socios (€)</v>
      </c>
    </row>
    <row r="150" spans="1:5" x14ac:dyDescent="0.3">
      <c r="A150" s="317" t="s">
        <v>1791</v>
      </c>
      <c r="B150" s="316" t="s">
        <v>1793</v>
      </c>
      <c r="C150" s="316" t="s">
        <v>1794</v>
      </c>
      <c r="D150" s="316" t="s">
        <v>1792</v>
      </c>
      <c r="E150" s="316" t="str">
        <f>tabIdiomas26[[#This Row],[Cadena]]</f>
        <v>Outros Ingresos dos Socios</v>
      </c>
    </row>
    <row r="151" spans="1:5" ht="43.2" x14ac:dyDescent="0.3">
      <c r="A151" s="317" t="s">
        <v>442</v>
      </c>
      <c r="B151" s="316" t="s">
        <v>443</v>
      </c>
      <c r="C151" s="316" t="s">
        <v>444</v>
      </c>
      <c r="D151" s="316" t="s">
        <v>445</v>
      </c>
      <c r="E151" s="316" t="str">
        <f>tabIdiomas26[[#This Row],[Cadena]]</f>
        <v>Ingresos por Prestación Gratuíta de Outros Servizos pola Entidade Xestora da Iniciativa Comunitaria</v>
      </c>
    </row>
    <row r="152" spans="1:5" ht="28.8" x14ac:dyDescent="0.3">
      <c r="A152" s="317" t="s">
        <v>446</v>
      </c>
      <c r="B152" s="316" t="s">
        <v>447</v>
      </c>
      <c r="C152" s="316" t="s">
        <v>448</v>
      </c>
      <c r="D152" s="316" t="s">
        <v>449</v>
      </c>
      <c r="E152" s="316" t="str">
        <f>tabIdiomas26[[#This Row],[Cadena]]</f>
        <v>Outros Ingresos Percibidos da Entidade Xestora da Iniciativa Comunitaria</v>
      </c>
    </row>
    <row r="153" spans="1:5" ht="28.8" x14ac:dyDescent="0.3">
      <c r="A153" s="317" t="s">
        <v>450</v>
      </c>
      <c r="B153" s="316" t="s">
        <v>451</v>
      </c>
      <c r="C153" s="316" t="s">
        <v>452</v>
      </c>
      <c r="D153" s="316" t="s">
        <v>453</v>
      </c>
      <c r="E153" s="316" t="str">
        <f>tabIdiomas26[[#This Row],[Cadena]]</f>
        <v>Axuste de Exclusiva Aplicación para o Cálculo do Estado de Fluxos de Efectivo (EFE)</v>
      </c>
    </row>
    <row r="154" spans="1:5" ht="43.2" x14ac:dyDescent="0.3">
      <c r="A154" s="317" t="s">
        <v>454</v>
      </c>
      <c r="B154" s="316" t="s">
        <v>455</v>
      </c>
      <c r="C154" s="316" t="s">
        <v>456</v>
      </c>
      <c r="D154" s="316" t="s">
        <v>457</v>
      </c>
      <c r="E154" s="316" t="str">
        <f>tabIdiomas26[[#This Row],[Cadena]]</f>
        <v>Inclusión do Valor da Enerxía Producida como Ingreso que Xera Fluxo de Efectivo (Si/Non)</v>
      </c>
    </row>
    <row r="155" spans="1:5" ht="43.2" x14ac:dyDescent="0.3">
      <c r="A155" s="317" t="s">
        <v>458</v>
      </c>
      <c r="B155" s="316" t="s">
        <v>459</v>
      </c>
      <c r="C155" s="316" t="s">
        <v>460</v>
      </c>
      <c r="D155" s="316" t="s">
        <v>461</v>
      </c>
      <c r="E155" s="316" t="str">
        <f>tabIdiomas26[[#This Row],[Cadena]]</f>
        <v>Determinación da Enerxía Xerada (KWh) por KWp Ao Ano</v>
      </c>
    </row>
    <row r="156" spans="1:5" ht="28.8" x14ac:dyDescent="0.3">
      <c r="A156" s="317" t="s">
        <v>462</v>
      </c>
      <c r="B156" s="316" t="s">
        <v>463</v>
      </c>
      <c r="C156" s="316" t="s">
        <v>464</v>
      </c>
      <c r="D156" s="316" t="s">
        <v>465</v>
      </c>
      <c r="E156" s="316" t="str">
        <f>tabIdiomas26[[#This Row],[Cadena]]</f>
        <v>Determinación do Consumo Mensual (KWh) do Socio Promedio Tipo</v>
      </c>
    </row>
    <row r="157" spans="1:5" x14ac:dyDescent="0.3">
      <c r="A157" s="317" t="s">
        <v>9</v>
      </c>
      <c r="B157" s="316" t="s">
        <v>466</v>
      </c>
      <c r="C157" s="316" t="s">
        <v>9</v>
      </c>
      <c r="D157" s="316" t="s">
        <v>9</v>
      </c>
      <c r="E157" s="316" t="str">
        <f>tabIdiomas26[[#This Row],[Cadena]]</f>
        <v>Manual</v>
      </c>
    </row>
    <row r="158" spans="1:5" x14ac:dyDescent="0.3">
      <c r="A158" s="317" t="s">
        <v>467</v>
      </c>
      <c r="B158" s="316" t="s">
        <v>468</v>
      </c>
      <c r="C158" s="316" t="s">
        <v>469</v>
      </c>
      <c r="D158" s="316" t="s">
        <v>470</v>
      </c>
      <c r="E158" s="316" t="str">
        <f>tabIdiomas26[[#This Row],[Cadena]]</f>
        <v>Automática (Só Galicia)</v>
      </c>
    </row>
    <row r="159" spans="1:5" ht="43.2" x14ac:dyDescent="0.3">
      <c r="A159" s="317" t="s">
        <v>471</v>
      </c>
      <c r="B159" s="316" t="s">
        <v>472</v>
      </c>
      <c r="C159" s="316" t="s">
        <v>473</v>
      </c>
      <c r="D159" s="316" t="s">
        <v>474</v>
      </c>
      <c r="E159" s="316" t="str">
        <f>tabIdiomas26[[#This Row],[Cadena]]</f>
        <v>Enerxía Xerada (KWh) por KWp de Potencia Instalada ao Ano (Determinación Manual)</v>
      </c>
    </row>
    <row r="160" spans="1:5" ht="28.8" x14ac:dyDescent="0.3">
      <c r="A160" s="317" t="s">
        <v>475</v>
      </c>
      <c r="B160" s="316" t="s">
        <v>476</v>
      </c>
      <c r="C160" s="316" t="s">
        <v>477</v>
      </c>
      <c r="D160" s="316" t="s">
        <v>478</v>
      </c>
      <c r="E160" s="316" t="str">
        <f>tabIdiomas26[[#This Row],[Cadena]]</f>
        <v>Consumo Eléctrico Mensual (KWh) do Socio Promedio Tipo (Determinación Manual)</v>
      </c>
    </row>
    <row r="161" spans="1:5" ht="28.8" x14ac:dyDescent="0.3">
      <c r="A161" s="317" t="s">
        <v>479</v>
      </c>
      <c r="B161" s="316" t="s">
        <v>706</v>
      </c>
      <c r="C161" s="316" t="s">
        <v>480</v>
      </c>
      <c r="D161" s="316" t="s">
        <v>481</v>
      </c>
      <c r="E161" s="316" t="str">
        <f>tabIdiomas26[[#This Row],[Cadena]]</f>
        <v>Desglose de Gastos en Asesoramento e Xestoría (Outros Servizos)</v>
      </c>
    </row>
    <row r="162" spans="1:5" x14ac:dyDescent="0.3">
      <c r="A162" s="317" t="s">
        <v>482</v>
      </c>
      <c r="B162" s="316" t="s">
        <v>483</v>
      </c>
      <c r="C162" s="316" t="s">
        <v>484</v>
      </c>
      <c r="D162" s="316" t="s">
        <v>485</v>
      </c>
      <c r="E162" s="316" t="str">
        <f>tabIdiomas26[[#This Row],[Cadena]]</f>
        <v>Xestión da Entidade (Ata 25 Socios)</v>
      </c>
    </row>
    <row r="163" spans="1:5" x14ac:dyDescent="0.3">
      <c r="A163" s="317" t="s">
        <v>486</v>
      </c>
      <c r="B163" s="316" t="s">
        <v>709</v>
      </c>
      <c r="C163" s="316" t="s">
        <v>487</v>
      </c>
      <c r="D163" s="316" t="s">
        <v>486</v>
      </c>
      <c r="E163" s="316" t="str">
        <f>tabIdiomas26[[#This Row],[Cadena]]</f>
        <v>Monitoring Socios</v>
      </c>
    </row>
    <row r="164" spans="1:5" ht="28.8" x14ac:dyDescent="0.3">
      <c r="A164" s="317" t="s">
        <v>488</v>
      </c>
      <c r="B164" s="316" t="s">
        <v>710</v>
      </c>
      <c r="C164" s="316" t="s">
        <v>489</v>
      </c>
      <c r="D164" s="316" t="s">
        <v>490</v>
      </c>
      <c r="E164" s="316" t="str">
        <f>tabIdiomas26[[#This Row],[Cadena]]</f>
        <v>Asesoramento Contable, Fiscal e Outros</v>
      </c>
    </row>
    <row r="165" spans="1:5" x14ac:dyDescent="0.3">
      <c r="A165" s="317" t="s">
        <v>491</v>
      </c>
      <c r="B165" s="316" t="s">
        <v>707</v>
      </c>
      <c r="C165" s="316" t="s">
        <v>492</v>
      </c>
      <c r="D165" s="316" t="s">
        <v>491</v>
      </c>
      <c r="E165" s="316" t="str">
        <f>tabIdiomas26[[#This Row],[Cadena]]</f>
        <v>Imp. Mens. Por Socio (€)</v>
      </c>
    </row>
    <row r="166" spans="1:5" x14ac:dyDescent="0.3">
      <c r="A166" s="317" t="s">
        <v>493</v>
      </c>
      <c r="B166" s="316" t="s">
        <v>708</v>
      </c>
      <c r="C166" s="316" t="s">
        <v>494</v>
      </c>
      <c r="D166" s="316" t="s">
        <v>493</v>
      </c>
      <c r="E166" s="316" t="str">
        <f>tabIdiomas26[[#This Row],[Cadena]]</f>
        <v>Importe Mensual (€)</v>
      </c>
    </row>
    <row r="167" spans="1:5" ht="57.6" x14ac:dyDescent="0.3">
      <c r="A167" s="317" t="s">
        <v>495</v>
      </c>
      <c r="B167" s="316" t="s">
        <v>711</v>
      </c>
      <c r="C167" s="316" t="s">
        <v>496</v>
      </c>
      <c r="D167" s="316" t="s">
        <v>497</v>
      </c>
      <c r="E167" s="316" t="str">
        <f>tabIdiomas26[[#This Row],[Cadena]]</f>
        <v>Aplicabilidade do Epígrafe de Gasto 'Gastos Xerais Non Incluídos en Epígrafes Previos' (Mín. Outros Servizos = 5% s/ Cifra de Negocios)</v>
      </c>
    </row>
    <row r="168" spans="1:5" ht="28.8" x14ac:dyDescent="0.3">
      <c r="A168" s="317" t="s">
        <v>498</v>
      </c>
      <c r="B168" s="316" t="s">
        <v>712</v>
      </c>
      <c r="C168" s="316" t="s">
        <v>499</v>
      </c>
      <c r="D168" s="316" t="s">
        <v>500</v>
      </c>
      <c r="E168" s="316" t="str">
        <f>tabIdiomas26[[#This Row],[Cadena]]</f>
        <v>Amortización Considerada Como Custo (Si/Non)</v>
      </c>
    </row>
    <row r="169" spans="1:5" ht="43.2" x14ac:dyDescent="0.3">
      <c r="A169" s="317" t="s">
        <v>501</v>
      </c>
      <c r="B169" s="316" t="s">
        <v>713</v>
      </c>
      <c r="C169" s="316" t="s">
        <v>502</v>
      </c>
      <c r="D169" s="316" t="s">
        <v>503</v>
      </c>
      <c r="E169" s="316" t="str">
        <f>tabIdiomas26[[#This Row],[Cadena]]</f>
        <v>Garantías, Taxas Autonómicas, Municipais e Outras Obrigas Tributarias</v>
      </c>
    </row>
    <row r="170" spans="1:5" ht="43.2" x14ac:dyDescent="0.3">
      <c r="A170" s="317" t="s">
        <v>504</v>
      </c>
      <c r="B170" s="316" t="s">
        <v>717</v>
      </c>
      <c r="C170" s="316" t="s">
        <v>505</v>
      </c>
      <c r="D170" s="316" t="s">
        <v>506</v>
      </c>
      <c r="E170" s="316" t="str">
        <f>tabIdiomas26[[#This Row],[Cadena]]</f>
        <v>Garantía Económica para Tramitación da Solicitude de Acceso e Conexión á Rede (40€/KW)</v>
      </c>
    </row>
    <row r="171" spans="1:5" ht="43.2" x14ac:dyDescent="0.3">
      <c r="A171" s="317" t="s">
        <v>507</v>
      </c>
      <c r="B171" s="316" t="s">
        <v>718</v>
      </c>
      <c r="C171" s="316" t="s">
        <v>508</v>
      </c>
      <c r="D171" s="316" t="s">
        <v>509</v>
      </c>
      <c r="E171" s="316" t="str">
        <f>tabIdiomas26[[#This Row],[Cadena]]</f>
        <v>Taxa Autonómica por Inscrición en Rexistros Oficiais -Primeira Inscrición- (30.02.00 Anexo 1)</v>
      </c>
    </row>
    <row r="172" spans="1:5" ht="28.8" x14ac:dyDescent="0.3">
      <c r="A172" s="317" t="s">
        <v>510</v>
      </c>
      <c r="B172" s="316" t="s">
        <v>719</v>
      </c>
      <c r="C172" s="316" t="s">
        <v>511</v>
      </c>
      <c r="D172" s="316" t="s">
        <v>512</v>
      </c>
      <c r="E172" s="316" t="str">
        <f>tabIdiomas26[[#This Row],[Cadena]]</f>
        <v>Taxa por Licencia Urbanística (Municipal)</v>
      </c>
    </row>
    <row r="173" spans="1:5" ht="28.8" x14ac:dyDescent="0.3">
      <c r="A173" s="317" t="s">
        <v>513</v>
      </c>
      <c r="B173" s="316" t="s">
        <v>720</v>
      </c>
      <c r="C173" s="316" t="s">
        <v>514</v>
      </c>
      <c r="D173" s="316" t="s">
        <v>515</v>
      </c>
      <c r="E173" s="316" t="str">
        <f>tabIdiomas26[[#This Row],[Cadena]]</f>
        <v>Imposto sobre Construccións, Instalacións e Obras</v>
      </c>
    </row>
    <row r="174" spans="1:5" x14ac:dyDescent="0.3">
      <c r="A174" s="317" t="s">
        <v>516</v>
      </c>
      <c r="B174" s="316" t="s">
        <v>721</v>
      </c>
      <c r="C174" s="316" t="s">
        <v>517</v>
      </c>
      <c r="D174" s="316" t="s">
        <v>518</v>
      </c>
      <c r="E174" s="316" t="str">
        <f>tabIdiomas26[[#This Row],[Cadena]]</f>
        <v>Taxa por Obtención de Licencia de Actividade</v>
      </c>
    </row>
    <row r="175" spans="1:5" x14ac:dyDescent="0.3">
      <c r="A175" s="317" t="s">
        <v>519</v>
      </c>
      <c r="B175" s="316" t="s">
        <v>722</v>
      </c>
      <c r="C175" s="316" t="s">
        <v>520</v>
      </c>
      <c r="D175" s="316" t="s">
        <v>521</v>
      </c>
      <c r="E175" s="316" t="str">
        <f>tabIdiomas26[[#This Row],[Cadena]]</f>
        <v>Outras Obrigas Tributarias</v>
      </c>
    </row>
    <row r="176" spans="1:5" ht="57.6" x14ac:dyDescent="0.3">
      <c r="A176" s="317" t="s">
        <v>522</v>
      </c>
      <c r="B176" s="316" t="s">
        <v>523</v>
      </c>
      <c r="C176" s="316" t="s">
        <v>524</v>
      </c>
      <c r="D176" s="316" t="s">
        <v>525</v>
      </c>
      <c r="E176" s="316" t="str">
        <f>tabIdiomas26[[#This Row],[Cadena]]</f>
        <v>Comprobacións Introdución Manual de Ratio de Produción e de Consumo do Socio Tipo cando a instalación NON se atopa en Galicia</v>
      </c>
    </row>
    <row r="177" spans="1:5" x14ac:dyDescent="0.3">
      <c r="A177" s="317" t="s">
        <v>526</v>
      </c>
      <c r="B177" s="316" t="s">
        <v>527</v>
      </c>
      <c r="C177" s="316" t="s">
        <v>528</v>
      </c>
      <c r="D177" s="316" t="s">
        <v>529</v>
      </c>
      <c r="E177" s="316" t="str">
        <f>tabIdiomas26[[#This Row],[Cadena]]</f>
        <v>Prégase, NON CUBRIR:</v>
      </c>
    </row>
    <row r="178" spans="1:5" ht="43.2" x14ac:dyDescent="0.3">
      <c r="A178" s="317" t="s">
        <v>530</v>
      </c>
      <c r="B178" s="316" t="s">
        <v>531</v>
      </c>
      <c r="C178" s="316" t="s">
        <v>532</v>
      </c>
      <c r="D178" s="316" t="s">
        <v>533</v>
      </c>
      <c r="E178" s="316" t="str">
        <f>tabIdiomas26[[#This Row],[Cadena]]</f>
        <v>Introdución Manual Enerxía Xerada por KWp Instalado</v>
      </c>
    </row>
    <row r="179" spans="1:5" ht="28.8" x14ac:dyDescent="0.3">
      <c r="A179" s="317" t="s">
        <v>534</v>
      </c>
      <c r="B179" s="316" t="s">
        <v>535</v>
      </c>
      <c r="C179" s="316" t="s">
        <v>536</v>
      </c>
      <c r="D179" s="316" t="s">
        <v>537</v>
      </c>
      <c r="E179" s="316" t="str">
        <f>tabIdiomas26[[#This Row],[Cadena]]</f>
        <v>Introdución Manual do Consumo Mensual do Socio Tipo</v>
      </c>
    </row>
    <row r="180" spans="1:5" x14ac:dyDescent="0.3">
      <c r="A180" s="318" t="s">
        <v>538</v>
      </c>
      <c r="B180" s="316" t="s">
        <v>539</v>
      </c>
      <c r="C180" s="316" t="s">
        <v>540</v>
      </c>
      <c r="D180" s="316" t="s">
        <v>538</v>
      </c>
      <c r="E180" s="316" t="str">
        <f>tabIdiomas26[[#This Row],[Cadena]]</f>
        <v>Verificación Correcta</v>
      </c>
    </row>
    <row r="181" spans="1:5" x14ac:dyDescent="0.3">
      <c r="A181" s="318" t="s">
        <v>541</v>
      </c>
      <c r="B181" s="316" t="s">
        <v>542</v>
      </c>
      <c r="C181" s="316" t="s">
        <v>543</v>
      </c>
      <c r="D181" s="316" t="s">
        <v>544</v>
      </c>
      <c r="E181" s="316" t="str">
        <f>tabIdiomas26[[#This Row],[Cadena]]</f>
        <v>Verificación Non Aplicable</v>
      </c>
    </row>
    <row r="182" spans="1:5" x14ac:dyDescent="0.3">
      <c r="A182" s="318" t="s">
        <v>545</v>
      </c>
      <c r="B182" s="316" t="s">
        <v>546</v>
      </c>
      <c r="C182" s="316" t="s">
        <v>547</v>
      </c>
      <c r="D182" s="316" t="s">
        <v>545</v>
      </c>
      <c r="E182" s="316" t="str">
        <f>tabIdiomas26[[#This Row],[Cadena]]</f>
        <v>Verificación Errónea</v>
      </c>
    </row>
    <row r="183" spans="1:5" x14ac:dyDescent="0.3">
      <c r="A183" s="317" t="s">
        <v>548</v>
      </c>
      <c r="B183" s="316" t="s">
        <v>549</v>
      </c>
      <c r="C183" s="316" t="s">
        <v>550</v>
      </c>
      <c r="D183" s="316" t="s">
        <v>551</v>
      </c>
      <c r="E183" s="316" t="str">
        <f>tabIdiomas26[[#This Row],[Cadena]]</f>
        <v>Base Impoñible</v>
      </c>
    </row>
    <row r="184" spans="1:5" x14ac:dyDescent="0.3">
      <c r="A184" s="317" t="s">
        <v>552</v>
      </c>
      <c r="B184" s="316" t="s">
        <v>714</v>
      </c>
      <c r="C184" s="316" t="s">
        <v>553</v>
      </c>
      <c r="D184" s="316" t="s">
        <v>554</v>
      </c>
      <c r="E184" s="316" t="str">
        <f>tabIdiomas26[[#This Row],[Cadena]]</f>
        <v>Tipo de Gravame</v>
      </c>
    </row>
    <row r="185" spans="1:5" ht="28.8" x14ac:dyDescent="0.3">
      <c r="A185" s="317" t="s">
        <v>555</v>
      </c>
      <c r="B185" s="316" t="s">
        <v>715</v>
      </c>
      <c r="C185" s="316" t="s">
        <v>556</v>
      </c>
      <c r="D185" s="316" t="s">
        <v>557</v>
      </c>
      <c r="E185" s="316" t="str">
        <f>tabIdiomas26[[#This Row],[Cadena]]</f>
        <v>Cota Tributaria Íntegra</v>
      </c>
    </row>
    <row r="186" spans="1:5" ht="28.8" x14ac:dyDescent="0.3">
      <c r="A186" s="317" t="s">
        <v>558</v>
      </c>
      <c r="B186" s="316" t="s">
        <v>716</v>
      </c>
      <c r="C186" s="316" t="s">
        <v>559</v>
      </c>
      <c r="D186" s="316" t="s">
        <v>560</v>
      </c>
      <c r="E186" s="316" t="str">
        <f>tabIdiomas26[[#This Row],[Cadena]]</f>
        <v>Deduc. Ou Bonif. sobre a Cota</v>
      </c>
    </row>
    <row r="187" spans="1:5" x14ac:dyDescent="0.3">
      <c r="A187" s="317" t="s">
        <v>561</v>
      </c>
      <c r="B187" s="316" t="s">
        <v>562</v>
      </c>
      <c r="C187" s="316" t="s">
        <v>563</v>
      </c>
      <c r="D187" s="316" t="s">
        <v>564</v>
      </c>
      <c r="E187" s="316" t="str">
        <f>tabIdiomas26[[#This Row],[Cadena]]</f>
        <v>Aplicabilidade</v>
      </c>
    </row>
    <row r="188" spans="1:5" ht="28.8" x14ac:dyDescent="0.3">
      <c r="A188" s="317" t="s">
        <v>565</v>
      </c>
      <c r="B188" s="316" t="s">
        <v>723</v>
      </c>
      <c r="C188" s="316" t="s">
        <v>566</v>
      </c>
      <c r="D188" s="316" t="s">
        <v>567</v>
      </c>
      <c r="E188" s="316" t="str">
        <f>tabIdiomas26[[#This Row],[Cadena]]</f>
        <v>Outras Perdas en Xestión Corrente</v>
      </c>
    </row>
    <row r="189" spans="1:5" x14ac:dyDescent="0.3">
      <c r="A189" s="317" t="s">
        <v>568</v>
      </c>
      <c r="B189" s="316" t="s">
        <v>569</v>
      </c>
      <c r="C189" s="316" t="s">
        <v>570</v>
      </c>
      <c r="D189" s="316" t="s">
        <v>568</v>
      </c>
      <c r="E189" s="316" t="str">
        <f>tabIdiomas26[[#This Row],[Cadena]]</f>
        <v>Concepto</v>
      </c>
    </row>
    <row r="190" spans="1:5" x14ac:dyDescent="0.3">
      <c r="A190" s="317" t="s">
        <v>571</v>
      </c>
      <c r="B190" s="316" t="s">
        <v>681</v>
      </c>
      <c r="C190" s="316" t="s">
        <v>572</v>
      </c>
      <c r="D190" s="316" t="s">
        <v>573</v>
      </c>
      <c r="E190" s="316" t="str">
        <f>tabIdiomas26[[#This Row],[Cadena]]</f>
        <v>Termo de Potencia (P1)</v>
      </c>
    </row>
    <row r="191" spans="1:5" x14ac:dyDescent="0.3">
      <c r="A191" s="317" t="s">
        <v>574</v>
      </c>
      <c r="B191" s="316" t="s">
        <v>682</v>
      </c>
      <c r="C191" s="316" t="s">
        <v>575</v>
      </c>
      <c r="D191" s="316" t="s">
        <v>576</v>
      </c>
      <c r="E191" s="316" t="str">
        <f>tabIdiomas26[[#This Row],[Cadena]]</f>
        <v>Termo de Potencia (P2)</v>
      </c>
    </row>
    <row r="192" spans="1:5" ht="28.8" x14ac:dyDescent="0.3">
      <c r="A192" s="317" t="s">
        <v>577</v>
      </c>
      <c r="B192" s="316" t="s">
        <v>683</v>
      </c>
      <c r="C192" s="316" t="s">
        <v>578</v>
      </c>
      <c r="D192" s="316" t="s">
        <v>577</v>
      </c>
      <c r="E192" s="316" t="str">
        <f>tabIdiomas26[[#This Row],[Cadena]]</f>
        <v>Financiación Bono Social</v>
      </c>
    </row>
    <row r="193" spans="1:5" x14ac:dyDescent="0.3">
      <c r="A193" s="317" t="s">
        <v>579</v>
      </c>
      <c r="B193" s="316" t="s">
        <v>684</v>
      </c>
      <c r="C193" s="316" t="s">
        <v>580</v>
      </c>
      <c r="D193" s="316" t="s">
        <v>581</v>
      </c>
      <c r="E193" s="316" t="str">
        <f>tabIdiomas26[[#This Row],[Cadena]]</f>
        <v>Imposto sobre a Electricidade (Tipo Habitual)</v>
      </c>
    </row>
    <row r="194" spans="1:5" ht="28.8" x14ac:dyDescent="0.3">
      <c r="A194" s="317" t="s">
        <v>582</v>
      </c>
      <c r="B194" s="316" t="s">
        <v>685</v>
      </c>
      <c r="C194" s="316" t="s">
        <v>583</v>
      </c>
      <c r="D194" s="316" t="s">
        <v>584</v>
      </c>
      <c r="E194" s="316" t="str">
        <f>tabIdiomas26[[#This Row],[Cadena]]</f>
        <v>Imposto sobre a Electricidade (Tipo Reducido Temporalmente)</v>
      </c>
    </row>
    <row r="195" spans="1:5" x14ac:dyDescent="0.3">
      <c r="A195" s="317" t="s">
        <v>585</v>
      </c>
      <c r="B195" s="316" t="s">
        <v>686</v>
      </c>
      <c r="C195" s="316" t="s">
        <v>586</v>
      </c>
      <c r="D195" s="316" t="s">
        <v>587</v>
      </c>
      <c r="E195" s="316" t="str">
        <f>tabIdiomas26[[#This Row],[Cadena]]</f>
        <v>Aluguer do contador</v>
      </c>
    </row>
    <row r="196" spans="1:5" x14ac:dyDescent="0.3">
      <c r="A196" s="317" t="s">
        <v>588</v>
      </c>
      <c r="B196" s="316" t="s">
        <v>618</v>
      </c>
      <c r="C196" s="316" t="s">
        <v>589</v>
      </c>
      <c r="D196" s="316" t="s">
        <v>590</v>
      </c>
      <c r="E196" s="316" t="str">
        <f>tabIdiomas26[[#This Row],[Cadena]]</f>
        <v>IVE (Tipo Habitual)</v>
      </c>
    </row>
    <row r="197" spans="1:5" x14ac:dyDescent="0.3">
      <c r="A197" s="317" t="s">
        <v>591</v>
      </c>
      <c r="B197" s="316" t="s">
        <v>688</v>
      </c>
      <c r="C197" s="316" t="s">
        <v>16</v>
      </c>
      <c r="D197" s="316" t="s">
        <v>592</v>
      </c>
      <c r="E197" s="316" t="str">
        <f>tabIdiomas26[[#This Row],[Cadena]]</f>
        <v>IVE (Tipo Reducido Electricidade)</v>
      </c>
    </row>
    <row r="198" spans="1:5" ht="28.8" x14ac:dyDescent="0.3">
      <c r="A198" s="317" t="s">
        <v>593</v>
      </c>
      <c r="B198" s="316" t="s">
        <v>689</v>
      </c>
      <c r="C198" s="316" t="s">
        <v>594</v>
      </c>
      <c r="D198" s="316" t="s">
        <v>595</v>
      </c>
      <c r="E198" s="316" t="str">
        <f>tabIdiomas26[[#This Row],[Cadena]]</f>
        <v>IVE (Tipo Super-Reducido Electr.)</v>
      </c>
    </row>
    <row r="199" spans="1:5" x14ac:dyDescent="0.3">
      <c r="A199" s="318" t="s">
        <v>596</v>
      </c>
      <c r="B199" s="316" t="s">
        <v>679</v>
      </c>
      <c r="C199" s="316" t="s">
        <v>597</v>
      </c>
      <c r="D199" s="316" t="s">
        <v>596</v>
      </c>
      <c r="E199" s="316" t="str">
        <f>tabIdiomas26[[#This Row],[Cadena]]</f>
        <v>Valor</v>
      </c>
    </row>
    <row r="200" spans="1:5" x14ac:dyDescent="0.3">
      <c r="A200" s="317" t="s">
        <v>598</v>
      </c>
      <c r="B200" s="316" t="s">
        <v>599</v>
      </c>
      <c r="C200" s="316" t="s">
        <v>600</v>
      </c>
      <c r="D200" s="316" t="s">
        <v>601</v>
      </c>
      <c r="E200" s="316" t="str">
        <f>tabIdiomas26[[#This Row],[Cadena]]</f>
        <v>Unidade</v>
      </c>
    </row>
    <row r="201" spans="1:5" x14ac:dyDescent="0.3">
      <c r="A201" s="317" t="s">
        <v>602</v>
      </c>
      <c r="B201" s="316" t="s">
        <v>690</v>
      </c>
      <c r="C201" s="316" t="s">
        <v>603</v>
      </c>
      <c r="D201" s="316" t="s">
        <v>604</v>
      </c>
      <c r="E201" s="316" t="str">
        <f>tabIdiomas26[[#This Row],[Cadena]]</f>
        <v>€/KW e día</v>
      </c>
    </row>
    <row r="202" spans="1:5" x14ac:dyDescent="0.3">
      <c r="A202" s="317" t="s">
        <v>605</v>
      </c>
      <c r="B202" s="316" t="s">
        <v>691</v>
      </c>
      <c r="C202" s="316" t="s">
        <v>606</v>
      </c>
      <c r="D202" s="316" t="s">
        <v>605</v>
      </c>
      <c r="E202" s="316" t="str">
        <f>tabIdiomas26[[#This Row],[Cadena]]</f>
        <v>€/día</v>
      </c>
    </row>
    <row r="203" spans="1:5" x14ac:dyDescent="0.3">
      <c r="A203" s="317" t="s">
        <v>607</v>
      </c>
      <c r="B203" s="316" t="s">
        <v>608</v>
      </c>
      <c r="C203" s="316" t="s">
        <v>609</v>
      </c>
      <c r="D203" s="316" t="s">
        <v>607</v>
      </c>
      <c r="E203" s="316" t="str">
        <f>tabIdiomas26[[#This Row],[Cadena]]</f>
        <v>% s/ Suma Conceptos Previos</v>
      </c>
    </row>
    <row r="204" spans="1:5" x14ac:dyDescent="0.3">
      <c r="A204" s="317" t="s">
        <v>610</v>
      </c>
      <c r="B204" s="316" t="s">
        <v>724</v>
      </c>
      <c r="C204" s="316" t="s">
        <v>611</v>
      </c>
      <c r="D204" s="316" t="s">
        <v>610</v>
      </c>
      <c r="E204" s="316" t="str">
        <f>tabIdiomas26[[#This Row],[Cadena]]</f>
        <v>% s/ BI (Suma Conceptos Previos)</v>
      </c>
    </row>
    <row r="205" spans="1:5" ht="28.8" x14ac:dyDescent="0.3">
      <c r="A205" s="318" t="s">
        <v>612</v>
      </c>
      <c r="B205" s="316" t="s">
        <v>693</v>
      </c>
      <c r="C205" s="316" t="s">
        <v>613</v>
      </c>
      <c r="D205" s="316" t="s">
        <v>612</v>
      </c>
      <c r="E205" s="316" t="str">
        <f>tabIdiomas26[[#This Row],[Cadena]]</f>
        <v>Potencia Contratada por Cada Socio Individual</v>
      </c>
    </row>
    <row r="206" spans="1:5" x14ac:dyDescent="0.3">
      <c r="A206" s="318" t="s">
        <v>614</v>
      </c>
      <c r="B206" s="316" t="s">
        <v>695</v>
      </c>
      <c r="C206" s="316" t="s">
        <v>615</v>
      </c>
      <c r="D206" s="316" t="s">
        <v>616</v>
      </c>
      <c r="E206" s="316" t="s">
        <v>617</v>
      </c>
    </row>
    <row r="207" spans="1:5" x14ac:dyDescent="0.3">
      <c r="A207" s="318" t="s">
        <v>18</v>
      </c>
      <c r="B207" s="316" t="s">
        <v>618</v>
      </c>
      <c r="C207" s="316" t="s">
        <v>589</v>
      </c>
      <c r="D207" s="316" t="s">
        <v>590</v>
      </c>
      <c r="E207" s="316" t="s">
        <v>588</v>
      </c>
    </row>
    <row r="208" spans="1:5" x14ac:dyDescent="0.3">
      <c r="A208" s="318" t="s">
        <v>19</v>
      </c>
      <c r="B208" s="316" t="s">
        <v>619</v>
      </c>
      <c r="C208" s="316" t="s">
        <v>16</v>
      </c>
      <c r="D208" s="316" t="s">
        <v>592</v>
      </c>
      <c r="E208" s="316" t="s">
        <v>591</v>
      </c>
    </row>
    <row r="209" spans="1:5" ht="28.8" x14ac:dyDescent="0.3">
      <c r="A209" s="318" t="s">
        <v>20</v>
      </c>
      <c r="B209" s="316" t="s">
        <v>620</v>
      </c>
      <c r="C209" s="316" t="s">
        <v>594</v>
      </c>
      <c r="D209" s="316" t="s">
        <v>595</v>
      </c>
      <c r="E209" s="316" t="s">
        <v>621</v>
      </c>
    </row>
    <row r="210" spans="1:5" x14ac:dyDescent="0.3">
      <c r="A210" s="318" t="s">
        <v>622</v>
      </c>
      <c r="B210" s="316" t="s">
        <v>622</v>
      </c>
      <c r="C210" s="316" t="s">
        <v>622</v>
      </c>
      <c r="D210" s="316" t="s">
        <v>622</v>
      </c>
      <c r="E210" s="316" t="str">
        <f>tabIdiomas26[[#This Row],[Cadena]]</f>
        <v>KW</v>
      </c>
    </row>
    <row r="211" spans="1:5" ht="28.8" x14ac:dyDescent="0.3">
      <c r="A211" s="318" t="s">
        <v>623</v>
      </c>
      <c r="B211" s="316" t="s">
        <v>624</v>
      </c>
      <c r="C211" s="316" t="s">
        <v>625</v>
      </c>
      <c r="D211" s="316" t="s">
        <v>626</v>
      </c>
      <c r="E211" s="316" t="str">
        <f>tabIdiomas26[[#This Row],[Cadena]]</f>
        <v>Imposto s/Electricidade Reducido? (Si / Non)</v>
      </c>
    </row>
    <row r="212" spans="1:5" ht="28.8" x14ac:dyDescent="0.3">
      <c r="A212" s="318" t="s">
        <v>627</v>
      </c>
      <c r="B212" s="316" t="s">
        <v>696</v>
      </c>
      <c r="C212" s="316" t="s">
        <v>628</v>
      </c>
      <c r="D212" s="316" t="s">
        <v>629</v>
      </c>
      <c r="E212" s="316" t="str">
        <f>tabIdiomas26[[#This Row],[Cadena]]</f>
        <v>Hipóteses Participación Heteroxénea (Distrib. Aleatoria dos Consumos)</v>
      </c>
    </row>
    <row r="213" spans="1:5" ht="28.8" x14ac:dyDescent="0.3">
      <c r="A213" s="318" t="s">
        <v>630</v>
      </c>
      <c r="B213" s="316" t="s">
        <v>631</v>
      </c>
      <c r="C213" s="316" t="s">
        <v>632</v>
      </c>
      <c r="D213" s="316" t="s">
        <v>630</v>
      </c>
      <c r="E213" s="316" t="str">
        <f>tabIdiomas26[[#This Row],[Cadena]]</f>
        <v>Consumo Mensual Máximo de Cada Socio Individual (KWh)</v>
      </c>
    </row>
    <row r="214" spans="1:5" ht="28.8" x14ac:dyDescent="0.3">
      <c r="A214" s="318" t="s">
        <v>633</v>
      </c>
      <c r="B214" s="316" t="s">
        <v>634</v>
      </c>
      <c r="C214" s="316" t="s">
        <v>635</v>
      </c>
      <c r="D214" s="316" t="s">
        <v>633</v>
      </c>
      <c r="E214" s="316" t="str">
        <f>tabIdiomas26[[#This Row],[Cadena]]</f>
        <v>Consumo Mensual Mínimo de Cada Socio Individual (KWh)</v>
      </c>
    </row>
    <row r="215" spans="1:5" x14ac:dyDescent="0.3">
      <c r="A215" s="318" t="s">
        <v>1802</v>
      </c>
      <c r="B215" s="1669" t="s">
        <v>1804</v>
      </c>
      <c r="C215" s="316" t="s">
        <v>1803</v>
      </c>
      <c r="D215" s="316" t="s">
        <v>1802</v>
      </c>
      <c r="E215" s="316" t="str">
        <f>tabIdiomas26[[#This Row],[Cadena]]</f>
        <v>Coeficiente de Participación (%)</v>
      </c>
    </row>
    <row r="216" spans="1:5" x14ac:dyDescent="0.3">
      <c r="A216" s="318" t="s">
        <v>1088</v>
      </c>
      <c r="B216" s="1668" t="s">
        <v>1671</v>
      </c>
      <c r="C216" s="316" t="s">
        <v>1670</v>
      </c>
      <c r="D216" s="316" t="s">
        <v>1669</v>
      </c>
      <c r="E216" s="316" t="str">
        <f>tabIdiomas26[[#This Row],[Cadena]]</f>
        <v>Concepto Faturado</v>
      </c>
    </row>
    <row r="217" spans="1:5" x14ac:dyDescent="0.3">
      <c r="A217" s="318" t="s">
        <v>1126</v>
      </c>
      <c r="B217" s="1668" t="s">
        <v>1668</v>
      </c>
      <c r="C217" s="316" t="s">
        <v>1667</v>
      </c>
      <c r="D217" s="316" t="s">
        <v>1666</v>
      </c>
      <c r="E217" s="316" t="s">
        <v>1665</v>
      </c>
    </row>
    <row r="218" spans="1:5" x14ac:dyDescent="0.3">
      <c r="A218" s="318" t="s">
        <v>1125</v>
      </c>
      <c r="B218" s="1668" t="s">
        <v>1664</v>
      </c>
      <c r="C218" s="316" t="s">
        <v>1663</v>
      </c>
      <c r="D218" s="316" t="s">
        <v>1662</v>
      </c>
      <c r="E218" s="316" t="s">
        <v>1661</v>
      </c>
    </row>
    <row r="219" spans="1:5" x14ac:dyDescent="0.3">
      <c r="A219" s="318" t="s">
        <v>1124</v>
      </c>
      <c r="B219" s="1668" t="s">
        <v>1660</v>
      </c>
      <c r="C219" s="316" t="s">
        <v>1659</v>
      </c>
      <c r="D219" s="316" t="s">
        <v>1124</v>
      </c>
      <c r="E219" s="316" t="s">
        <v>1658</v>
      </c>
    </row>
    <row r="220" spans="1:5" x14ac:dyDescent="0.3">
      <c r="A220" s="318" t="s">
        <v>1127</v>
      </c>
      <c r="B220" s="1668" t="s">
        <v>1657</v>
      </c>
      <c r="C220" s="316" t="s">
        <v>1656</v>
      </c>
      <c r="D220" s="316" t="s">
        <v>1655</v>
      </c>
      <c r="E220" s="316" t="s">
        <v>1654</v>
      </c>
    </row>
    <row r="221" spans="1:5" ht="28.8" x14ac:dyDescent="0.3">
      <c r="A221" s="318" t="s">
        <v>1123</v>
      </c>
      <c r="B221" s="1668" t="s">
        <v>1653</v>
      </c>
      <c r="C221" s="316" t="s">
        <v>1652</v>
      </c>
      <c r="D221" s="316" t="s">
        <v>1651</v>
      </c>
      <c r="E221" s="316" t="s">
        <v>1650</v>
      </c>
    </row>
    <row r="222" spans="1:5" x14ac:dyDescent="0.3">
      <c r="A222" s="318" t="s">
        <v>1080</v>
      </c>
      <c r="B222" s="1668" t="s">
        <v>1649</v>
      </c>
      <c r="C222" s="316" t="s">
        <v>1648</v>
      </c>
      <c r="D222" s="316" t="s">
        <v>1647</v>
      </c>
      <c r="E222" s="316" t="str">
        <f>tabIdiomas26[[#This Row],[Cadena]]</f>
        <v>Termo de Enerxía (Consumo)</v>
      </c>
    </row>
    <row r="223" spans="1:5" x14ac:dyDescent="0.3">
      <c r="A223" s="318" t="s">
        <v>1085</v>
      </c>
      <c r="B223" s="1668" t="s">
        <v>1646</v>
      </c>
      <c r="C223" s="316" t="s">
        <v>1645</v>
      </c>
      <c r="D223" s="316" t="s">
        <v>1644</v>
      </c>
      <c r="E223" s="316" t="str">
        <f>tabIdiomas26[[#This Row],[Cadena]]</f>
        <v>Subtotal (Suma dos Conceptos Previos)</v>
      </c>
    </row>
    <row r="224" spans="1:5" ht="28.8" x14ac:dyDescent="0.3">
      <c r="A224" s="318" t="s">
        <v>1084</v>
      </c>
      <c r="B224" s="1668" t="s">
        <v>1643</v>
      </c>
      <c r="C224" s="316" t="s">
        <v>1642</v>
      </c>
      <c r="D224" s="316" t="s">
        <v>1641</v>
      </c>
      <c r="E224" s="316" t="str">
        <f>tabIdiomas26[[#This Row],[Cadena]]</f>
        <v>Base Impoñible do IVE (Suma dos Conceptos Previos)</v>
      </c>
    </row>
    <row r="225" spans="1:5" x14ac:dyDescent="0.3">
      <c r="A225" s="318" t="s">
        <v>1083</v>
      </c>
      <c r="B225" s="1668" t="s">
        <v>1640</v>
      </c>
      <c r="C225" s="316" t="s">
        <v>1639</v>
      </c>
      <c r="D225" s="316" t="s">
        <v>1638</v>
      </c>
      <c r="E225" s="316" t="str">
        <f>tabIdiomas26[[#This Row],[Cadena]]</f>
        <v>IVE (Tipo Reducido Temporalmente)</v>
      </c>
    </row>
    <row r="226" spans="1:5" ht="28.8" x14ac:dyDescent="0.3">
      <c r="A226" s="318" t="s">
        <v>1082</v>
      </c>
      <c r="B226" s="1668" t="s">
        <v>1637</v>
      </c>
      <c r="C226" s="316" t="s">
        <v>1636</v>
      </c>
      <c r="D226" s="316" t="s">
        <v>1635</v>
      </c>
      <c r="E226" s="316" t="s">
        <v>1634</v>
      </c>
    </row>
    <row r="227" spans="1:5" x14ac:dyDescent="0.3">
      <c r="A227" s="318" t="s">
        <v>1096</v>
      </c>
      <c r="B227" s="1668" t="s">
        <v>1633</v>
      </c>
      <c r="C227" s="316" t="s">
        <v>1632</v>
      </c>
      <c r="D227" s="316" t="s">
        <v>1631</v>
      </c>
      <c r="E227" s="316" t="str">
        <f>tabIdiomas26[[#This Row],[Cadena]]</f>
        <v>Compensacións</v>
      </c>
    </row>
    <row r="228" spans="1:5" ht="28.8" x14ac:dyDescent="0.3">
      <c r="A228" s="318" t="s">
        <v>1093</v>
      </c>
      <c r="B228" s="1668" t="s">
        <v>1630</v>
      </c>
      <c r="C228" s="316" t="s">
        <v>1629</v>
      </c>
      <c r="D228" s="316" t="s">
        <v>1628</v>
      </c>
      <c r="E228" s="316" t="str">
        <f>tabIdiomas26[[#This Row],[Cadena]]</f>
        <v>Valor da Enerxía Suxeita a Compensación Transmitida á Comercializadora</v>
      </c>
    </row>
    <row r="229" spans="1:5" ht="28.8" x14ac:dyDescent="0.3">
      <c r="A229" s="318" t="s">
        <v>1092</v>
      </c>
      <c r="B229" s="1668" t="s">
        <v>1627</v>
      </c>
      <c r="C229" s="316" t="s">
        <v>1626</v>
      </c>
      <c r="D229" s="316" t="s">
        <v>1625</v>
      </c>
      <c r="E229" s="316" t="str">
        <f>tabIdiomas26[[#This Row],[Cadena]]</f>
        <v>Valor da Enerxía Vendida Transmitida á Comercializadora</v>
      </c>
    </row>
    <row r="230" spans="1:5" ht="28.8" x14ac:dyDescent="0.3">
      <c r="A230" s="318" t="s">
        <v>1091</v>
      </c>
      <c r="B230" s="1668" t="s">
        <v>1624</v>
      </c>
      <c r="C230" s="316" t="s">
        <v>1623</v>
      </c>
      <c r="D230" s="316" t="s">
        <v>1622</v>
      </c>
      <c r="E230" s="316" t="s">
        <v>1621</v>
      </c>
    </row>
    <row r="231" spans="1:5" ht="43.2" x14ac:dyDescent="0.3">
      <c r="A231" s="318" t="s">
        <v>1090</v>
      </c>
      <c r="B231" s="1668" t="s">
        <v>1620</v>
      </c>
      <c r="C231" s="316" t="s">
        <v>1619</v>
      </c>
      <c r="D231" s="316" t="s">
        <v>1618</v>
      </c>
      <c r="E231" s="316" t="s">
        <v>1617</v>
      </c>
    </row>
    <row r="232" spans="1:5" ht="28.8" x14ac:dyDescent="0.3">
      <c r="A232" s="318" t="s">
        <v>1089</v>
      </c>
      <c r="B232" s="1668" t="s">
        <v>1616</v>
      </c>
      <c r="C232" s="316" t="s">
        <v>1615</v>
      </c>
      <c r="D232" s="316" t="s">
        <v>1614</v>
      </c>
      <c r="E232" s="316" t="s">
        <v>1613</v>
      </c>
    </row>
    <row r="233" spans="1:5" x14ac:dyDescent="0.3">
      <c r="A233" s="318" t="s">
        <v>1121</v>
      </c>
      <c r="B233" s="1668" t="s">
        <v>1612</v>
      </c>
      <c r="C233" s="316" t="s">
        <v>1611</v>
      </c>
      <c r="D233" s="316" t="s">
        <v>1610</v>
      </c>
      <c r="E233" s="316" t="str">
        <f>tabIdiomas26[[#This Row],[Cadena]]</f>
        <v>Efecto Económico Positivo Total para o Socio</v>
      </c>
    </row>
    <row r="234" spans="1:5" ht="43.2" x14ac:dyDescent="0.3">
      <c r="A234" s="318" t="s">
        <v>1120</v>
      </c>
      <c r="B234" s="1668" t="s">
        <v>1609</v>
      </c>
      <c r="C234" s="316" t="s">
        <v>1608</v>
      </c>
      <c r="D234" s="316" t="s">
        <v>1607</v>
      </c>
      <c r="E234" s="316" t="str">
        <f>tabIdiomas26[[#This Row],[Cadena]]</f>
        <v>Determinación do Efecto Económico Neto para o Socio da súa Pertenza á Iniciativa Enerxética Comunitaria</v>
      </c>
    </row>
    <row r="235" spans="1:5" ht="28.8" x14ac:dyDescent="0.3">
      <c r="A235" s="318" t="s">
        <v>1119</v>
      </c>
      <c r="B235" s="1668" t="s">
        <v>1606</v>
      </c>
      <c r="C235" s="316" t="s">
        <v>1605</v>
      </c>
      <c r="D235" s="316" t="s">
        <v>1604</v>
      </c>
      <c r="E235" s="316" t="str">
        <f>tabIdiomas26[[#This Row],[Cadena]]</f>
        <v>(Considérase un mes tipo, para un consumidor tipo)</v>
      </c>
    </row>
    <row r="236" spans="1:5" ht="28.8" x14ac:dyDescent="0.3">
      <c r="A236" s="318" t="s">
        <v>1118</v>
      </c>
      <c r="B236" s="1668" t="s">
        <v>1603</v>
      </c>
      <c r="C236" s="316" t="s">
        <v>1602</v>
      </c>
      <c r="D236" s="316" t="s">
        <v>1601</v>
      </c>
      <c r="E236" s="316" t="str">
        <f>tabIdiomas26[[#This Row],[Cadena]]</f>
        <v>Consumo Mensual do Consumidor Tipo (KWh/Mes)</v>
      </c>
    </row>
    <row r="237" spans="1:5" ht="28.8" x14ac:dyDescent="0.3">
      <c r="A237" s="318" t="s">
        <v>1701</v>
      </c>
      <c r="B237" s="1668" t="s">
        <v>1756</v>
      </c>
      <c r="C237" s="316" t="s">
        <v>1757</v>
      </c>
      <c r="D237" s="316" t="s">
        <v>1701</v>
      </c>
      <c r="E237" s="316" t="str">
        <f>tabIdiomas26[[#This Row],[Cadena]]</f>
        <v>Consumo Eléctrico Anual Medio de Cada Socio (KWh)</v>
      </c>
    </row>
    <row r="238" spans="1:5" ht="28.8" x14ac:dyDescent="0.3">
      <c r="A238" s="318" t="s">
        <v>1800</v>
      </c>
      <c r="B238" s="1668" t="s">
        <v>1801</v>
      </c>
      <c r="C238" s="316" t="s">
        <v>1799</v>
      </c>
      <c r="D238" s="316" t="s">
        <v>1800</v>
      </c>
      <c r="E238" s="316" t="str">
        <f>tabIdiomas26[[#This Row],[Cadena]]</f>
        <v>Consumo Eléctrico Mensual  Medio de Cada Socio (KWh)</v>
      </c>
    </row>
    <row r="239" spans="1:5" x14ac:dyDescent="0.3">
      <c r="A239" s="318" t="s">
        <v>851</v>
      </c>
      <c r="B239" s="1668" t="s">
        <v>1600</v>
      </c>
      <c r="C239" s="316" t="s">
        <v>1599</v>
      </c>
      <c r="D239" s="316" t="s">
        <v>851</v>
      </c>
      <c r="E239" s="316" t="str">
        <f>tabIdiomas26[[#This Row],[Cadena]]</f>
        <v>Mensual</v>
      </c>
    </row>
    <row r="240" spans="1:5" x14ac:dyDescent="0.3">
      <c r="A240" s="318" t="s">
        <v>850</v>
      </c>
      <c r="B240" s="1668" t="s">
        <v>1598</v>
      </c>
      <c r="C240" s="316" t="s">
        <v>1597</v>
      </c>
      <c r="D240" s="316" t="s">
        <v>850</v>
      </c>
      <c r="E240" s="316" t="str">
        <f>tabIdiomas26[[#This Row],[Cadena]]</f>
        <v>Anual</v>
      </c>
    </row>
    <row r="241" spans="1:5" ht="57.6" x14ac:dyDescent="0.3">
      <c r="A241" s="318" t="s">
        <v>1117</v>
      </c>
      <c r="B241" s="1668" t="s">
        <v>1596</v>
      </c>
      <c r="C241" s="316" t="s">
        <v>1595</v>
      </c>
      <c r="D241" s="316" t="s">
        <v>1594</v>
      </c>
      <c r="E241" s="316" t="s">
        <v>1593</v>
      </c>
    </row>
    <row r="242" spans="1:5" ht="28.8" x14ac:dyDescent="0.3">
      <c r="A242" s="318" t="s">
        <v>1116</v>
      </c>
      <c r="B242" s="1668" t="s">
        <v>1592</v>
      </c>
      <c r="C242" s="316" t="s">
        <v>1591</v>
      </c>
      <c r="D242" s="316" t="s">
        <v>1590</v>
      </c>
      <c r="E242" s="316" t="str">
        <f>tabIdiomas26[[#This Row],[Cadena]]</f>
        <v>(-) Efecto Económico Negativo Total para o Socio (Cotas Pagadas á Entidade)</v>
      </c>
    </row>
    <row r="243" spans="1:5" ht="28.8" x14ac:dyDescent="0.3">
      <c r="A243" s="318" t="s">
        <v>1115</v>
      </c>
      <c r="B243" s="1668" t="s">
        <v>1589</v>
      </c>
      <c r="C243" s="316" t="s">
        <v>1588</v>
      </c>
      <c r="D243" s="316" t="s">
        <v>1587</v>
      </c>
      <c r="E243" s="316" t="str">
        <f>tabIdiomas26[[#This Row],[Cadena]]</f>
        <v>(=) Efecto Económico Neto Total para o Socio (Positivo - Negativo)</v>
      </c>
    </row>
    <row r="244" spans="1:5" ht="28.8" x14ac:dyDescent="0.3">
      <c r="A244" s="318" t="s">
        <v>1114</v>
      </c>
      <c r="B244" s="1668" t="s">
        <v>1586</v>
      </c>
      <c r="C244" s="316" t="s">
        <v>1585</v>
      </c>
      <c r="D244" s="316" t="s">
        <v>1584</v>
      </c>
      <c r="E244" s="316" t="s">
        <v>1583</v>
      </c>
    </row>
    <row r="245" spans="1:5" x14ac:dyDescent="0.3">
      <c r="A245" s="318" t="s">
        <v>919</v>
      </c>
      <c r="B245" s="1668" t="s">
        <v>1582</v>
      </c>
      <c r="C245" s="316" t="s">
        <v>1581</v>
      </c>
      <c r="D245" s="316" t="s">
        <v>1580</v>
      </c>
      <c r="E245" s="316" t="s">
        <v>1579</v>
      </c>
    </row>
    <row r="246" spans="1:5" x14ac:dyDescent="0.3">
      <c r="A246" s="318" t="s">
        <v>1576</v>
      </c>
      <c r="B246" s="1668" t="s">
        <v>1578</v>
      </c>
      <c r="C246" s="316" t="s">
        <v>1577</v>
      </c>
      <c r="D246" s="316" t="s">
        <v>1576</v>
      </c>
      <c r="E246" s="316" t="str">
        <f>tabIdiomas26[[#This Row],[Cadena]]</f>
        <v>INGRESOS</v>
      </c>
    </row>
    <row r="247" spans="1:5" x14ac:dyDescent="0.3">
      <c r="A247" s="318" t="s">
        <v>907</v>
      </c>
      <c r="B247" s="1668" t="s">
        <v>1575</v>
      </c>
      <c r="C247" s="316" t="s">
        <v>1574</v>
      </c>
      <c r="D247" s="316" t="s">
        <v>907</v>
      </c>
      <c r="E247" s="316" t="str">
        <f>tabIdiomas26[[#This Row],[Cadena]]</f>
        <v>GASTOS</v>
      </c>
    </row>
    <row r="248" spans="1:5" x14ac:dyDescent="0.3">
      <c r="A248" s="316" t="s">
        <v>1573</v>
      </c>
      <c r="B248" s="1668" t="s">
        <v>1572</v>
      </c>
      <c r="C248" s="316" t="s">
        <v>1571</v>
      </c>
      <c r="D248" s="316" t="s">
        <v>1570</v>
      </c>
      <c r="E248" s="316" t="str">
        <f>tabIdiomas26[[#This Row],[Cadena]]</f>
        <v>Hipóteses de Partida</v>
      </c>
    </row>
    <row r="249" spans="1:5" x14ac:dyDescent="0.3">
      <c r="A249" s="316" t="s">
        <v>1568</v>
      </c>
      <c r="B249" s="1668" t="s">
        <v>1569</v>
      </c>
      <c r="C249" s="316" t="s">
        <v>1568</v>
      </c>
      <c r="D249" s="316" t="s">
        <v>1568</v>
      </c>
      <c r="E249" s="316" t="str">
        <f>tabIdiomas26[[#This Row],[Cadena]]</f>
        <v>Ref. 1</v>
      </c>
    </row>
    <row r="250" spans="1:5" x14ac:dyDescent="0.3">
      <c r="A250" s="316" t="s">
        <v>917</v>
      </c>
      <c r="B250" s="1668" t="s">
        <v>1567</v>
      </c>
      <c r="C250" s="316" t="s">
        <v>1566</v>
      </c>
      <c r="D250" s="316" t="s">
        <v>917</v>
      </c>
      <c r="E250" s="316" t="str">
        <f>tabIdiomas26[[#This Row],[Cadena]]</f>
        <v>Valores Acumulados (Suma)</v>
      </c>
    </row>
    <row r="251" spans="1:5" x14ac:dyDescent="0.3">
      <c r="A251" s="316" t="s">
        <v>906</v>
      </c>
      <c r="B251" s="1668" t="s">
        <v>1565</v>
      </c>
      <c r="C251" s="316" t="s">
        <v>1564</v>
      </c>
      <c r="D251" s="316" t="s">
        <v>1563</v>
      </c>
      <c r="E251" s="316" t="str">
        <f>tabIdiomas26[[#This Row],[Cadena]]</f>
        <v>Vida Completa do Proxecto</v>
      </c>
    </row>
    <row r="252" spans="1:5" ht="28.8" x14ac:dyDescent="0.3">
      <c r="A252" s="316" t="s">
        <v>1719</v>
      </c>
      <c r="B252" s="316" t="s">
        <v>1717</v>
      </c>
      <c r="C252" s="316" t="s">
        <v>1718</v>
      </c>
      <c r="D252" s="316" t="s">
        <v>1720</v>
      </c>
      <c r="E252" s="316" t="str">
        <f>tabIdiomas26[[#This Row],[Cadena]]</f>
        <v>Ingresos por Enerxía Autoconsumida polos Socios</v>
      </c>
    </row>
    <row r="253" spans="1:5" x14ac:dyDescent="0.3">
      <c r="A253" s="316" t="s">
        <v>910</v>
      </c>
      <c r="B253" s="1668" t="s">
        <v>1562</v>
      </c>
      <c r="C253" s="316" t="s">
        <v>1561</v>
      </c>
      <c r="D253" s="316" t="s">
        <v>1560</v>
      </c>
      <c r="E253" s="316" t="str">
        <f>tabIdiomas26[[#This Row],[Cadena]]</f>
        <v>Ingresos Totais pola Enerxía Producida</v>
      </c>
    </row>
    <row r="254" spans="1:5" x14ac:dyDescent="0.3">
      <c r="A254" s="316" t="s">
        <v>794</v>
      </c>
      <c r="B254" s="1668" t="s">
        <v>1559</v>
      </c>
      <c r="C254" s="316" t="s">
        <v>1558</v>
      </c>
      <c r="D254" s="316" t="s">
        <v>1557</v>
      </c>
      <c r="E254" s="316" t="str">
        <f>tabIdiomas26[[#This Row],[Cadena]]</f>
        <v>Cotas de Socios</v>
      </c>
    </row>
    <row r="255" spans="1:5" ht="28.8" x14ac:dyDescent="0.3">
      <c r="A255" s="316" t="s">
        <v>947</v>
      </c>
      <c r="B255" s="1668" t="s">
        <v>1556</v>
      </c>
      <c r="C255" s="316" t="s">
        <v>1555</v>
      </c>
      <c r="D255" s="316" t="s">
        <v>1554</v>
      </c>
      <c r="E255" s="316" t="str">
        <f>tabIdiomas26[[#This Row],[Cadena]]</f>
        <v>Ingresos por Prestación Doutros Servizos Complementarios aos Socios</v>
      </c>
    </row>
    <row r="256" spans="1:5" ht="28.8" x14ac:dyDescent="0.3">
      <c r="A256" s="316" t="s">
        <v>946</v>
      </c>
      <c r="B256" s="1668" t="s">
        <v>1553</v>
      </c>
      <c r="C256" s="316" t="s">
        <v>1552</v>
      </c>
      <c r="D256" s="316" t="s">
        <v>1551</v>
      </c>
      <c r="E256" s="316" t="str">
        <f>tabIdiomas26[[#This Row],[Cadena]]</f>
        <v>Total Ingresos por Cotas de Socios e Outros Servizos Complementarios</v>
      </c>
    </row>
    <row r="257" spans="1:5" ht="28.8" x14ac:dyDescent="0.3">
      <c r="A257" s="316" t="s">
        <v>1550</v>
      </c>
      <c r="B257" s="1668" t="s">
        <v>1549</v>
      </c>
      <c r="C257" s="316" t="s">
        <v>1548</v>
      </c>
      <c r="D257" s="316" t="s">
        <v>1547</v>
      </c>
      <c r="E257" s="316" t="str">
        <f>tabIdiomas26[[#This Row],[Cadena]]</f>
        <v>Subvencións de Capital Transferidas ao Resultado do Exercicio (Imputación Anual)</v>
      </c>
    </row>
    <row r="258" spans="1:5" x14ac:dyDescent="0.3">
      <c r="A258" s="316" t="s">
        <v>908</v>
      </c>
      <c r="B258" s="1668" t="s">
        <v>1546</v>
      </c>
      <c r="C258" s="316" t="s">
        <v>1545</v>
      </c>
      <c r="D258" s="316" t="s">
        <v>908</v>
      </c>
      <c r="E258" s="316" t="str">
        <f>tabIdiomas26[[#This Row],[Cadena]]</f>
        <v>Total Ingresos de Explotación</v>
      </c>
    </row>
    <row r="259" spans="1:5" x14ac:dyDescent="0.3">
      <c r="A259" s="316" t="s">
        <v>905</v>
      </c>
      <c r="B259" s="1668" t="s">
        <v>1544</v>
      </c>
      <c r="C259" s="316" t="s">
        <v>1543</v>
      </c>
      <c r="D259" s="316" t="s">
        <v>1542</v>
      </c>
      <c r="E259" s="316" t="s">
        <v>905</v>
      </c>
    </row>
    <row r="260" spans="1:5" x14ac:dyDescent="0.3">
      <c r="A260" s="316" t="s">
        <v>1538</v>
      </c>
      <c r="B260" s="1668" t="s">
        <v>1541</v>
      </c>
      <c r="C260" s="316" t="s">
        <v>1540</v>
      </c>
      <c r="D260" s="316" t="s">
        <v>1539</v>
      </c>
      <c r="E260" s="316" t="s">
        <v>1538</v>
      </c>
    </row>
    <row r="261" spans="1:5" ht="59.4" customHeight="1" x14ac:dyDescent="0.3">
      <c r="A261" s="316" t="s">
        <v>1535</v>
      </c>
      <c r="B261" s="1668" t="s">
        <v>1537</v>
      </c>
      <c r="C261" s="316" t="s">
        <v>1536</v>
      </c>
      <c r="D261" s="316" t="s">
        <v>1535</v>
      </c>
      <c r="E261" s="316" t="s">
        <v>1535</v>
      </c>
    </row>
    <row r="262" spans="1:5" x14ac:dyDescent="0.3">
      <c r="A262" s="316" t="s">
        <v>899</v>
      </c>
      <c r="B262" s="1668" t="s">
        <v>1534</v>
      </c>
      <c r="C262" s="316" t="s">
        <v>1533</v>
      </c>
      <c r="D262" s="316" t="s">
        <v>1532</v>
      </c>
      <c r="E262" s="316" t="str">
        <f>tabIdiomas26[[#This Row],[Cadena]]</f>
        <v>Outros Servizos</v>
      </c>
    </row>
    <row r="263" spans="1:5" x14ac:dyDescent="0.3">
      <c r="A263" s="316" t="s">
        <v>898</v>
      </c>
      <c r="B263" s="1668" t="s">
        <v>1531</v>
      </c>
      <c r="C263" s="316" t="s">
        <v>1530</v>
      </c>
      <c r="D263" s="316" t="s">
        <v>1529</v>
      </c>
      <c r="E263" s="316" t="str">
        <f>tabIdiomas26[[#This Row],[Cadena]]</f>
        <v>Gastos en Servizos Exteriores</v>
      </c>
    </row>
    <row r="264" spans="1:5" ht="28.8" x14ac:dyDescent="0.3">
      <c r="A264" s="316" t="s">
        <v>895</v>
      </c>
      <c r="B264" s="1668" t="s">
        <v>1528</v>
      </c>
      <c r="C264" s="316" t="s">
        <v>1527</v>
      </c>
      <c r="D264" s="316" t="s">
        <v>1526</v>
      </c>
      <c r="E264" s="316" t="str">
        <f>tabIdiomas26[[#This Row],[Cadena]]</f>
        <v>Outros Tributos (Distintos do IS ou IVE)</v>
      </c>
    </row>
    <row r="265" spans="1:5" x14ac:dyDescent="0.3">
      <c r="A265" s="316" t="s">
        <v>1523</v>
      </c>
      <c r="B265" s="1668" t="s">
        <v>1525</v>
      </c>
      <c r="C265" s="316" t="s">
        <v>1524</v>
      </c>
      <c r="D265" s="316" t="s">
        <v>1523</v>
      </c>
      <c r="E265" s="316" t="str">
        <f>tabIdiomas26[[#This Row],[Cadena]]</f>
        <v>Total Gastos de Explotación</v>
      </c>
    </row>
    <row r="266" spans="1:5" ht="28.8" x14ac:dyDescent="0.3">
      <c r="A266" s="316" t="s">
        <v>893</v>
      </c>
      <c r="B266" s="1668" t="s">
        <v>1522</v>
      </c>
      <c r="C266" s="316" t="s">
        <v>1521</v>
      </c>
      <c r="D266" s="316" t="s">
        <v>1520</v>
      </c>
      <c r="E266" s="316" t="str">
        <f>tabIdiomas26[[#This Row],[Cadena]]</f>
        <v>EBITDA (Beneficio Antes de Interes, Impostos, Depreciacións e Amotizacións)</v>
      </c>
    </row>
    <row r="267" spans="1:5" x14ac:dyDescent="0.3">
      <c r="A267" s="316" t="s">
        <v>1516</v>
      </c>
      <c r="B267" s="1668" t="s">
        <v>1519</v>
      </c>
      <c r="C267" s="316" t="s">
        <v>1518</v>
      </c>
      <c r="D267" s="316" t="s">
        <v>1517</v>
      </c>
      <c r="E267" s="316" t="s">
        <v>1516</v>
      </c>
    </row>
    <row r="268" spans="1:5" x14ac:dyDescent="0.3">
      <c r="A268" s="316" t="s">
        <v>891</v>
      </c>
      <c r="B268" s="1668" t="s">
        <v>1515</v>
      </c>
      <c r="C268" s="316" t="s">
        <v>1514</v>
      </c>
      <c r="D268" s="316" t="s">
        <v>1513</v>
      </c>
      <c r="E268" s="316" t="str">
        <f>tabIdiomas26[[#This Row],[Cadena]]</f>
        <v>EBIT (Beneficio Antes de Intereses e Impostos)</v>
      </c>
    </row>
    <row r="269" spans="1:5" x14ac:dyDescent="0.3">
      <c r="A269" s="316" t="s">
        <v>1512</v>
      </c>
      <c r="B269" s="1668" t="s">
        <v>1511</v>
      </c>
      <c r="C269" s="316" t="s">
        <v>1510</v>
      </c>
      <c r="D269" s="316" t="s">
        <v>1509</v>
      </c>
      <c r="E269" s="316" t="str">
        <f>tabIdiomas26[[#This Row],[Cadena]]</f>
        <v>Ingresos Financeiros</v>
      </c>
    </row>
    <row r="270" spans="1:5" x14ac:dyDescent="0.3">
      <c r="A270" s="316" t="s">
        <v>1508</v>
      </c>
      <c r="B270" s="1668" t="s">
        <v>1507</v>
      </c>
      <c r="C270" s="316" t="s">
        <v>1506</v>
      </c>
      <c r="D270" s="316" t="s">
        <v>1505</v>
      </c>
      <c r="E270" s="316" t="str">
        <f>tabIdiomas26[[#This Row],[Cadena]]</f>
        <v>Gastos Financeiros</v>
      </c>
    </row>
    <row r="271" spans="1:5" x14ac:dyDescent="0.3">
      <c r="A271" s="316" t="s">
        <v>1504</v>
      </c>
      <c r="B271" s="1668" t="s">
        <v>1503</v>
      </c>
      <c r="C271" s="316" t="s">
        <v>1502</v>
      </c>
      <c r="D271" s="316" t="s">
        <v>1501</v>
      </c>
      <c r="E271" s="316" t="str">
        <f>tabIdiomas26[[#This Row],[Cadena]]</f>
        <v>Resultado Antes de Impostos</v>
      </c>
    </row>
    <row r="272" spans="1:5" x14ac:dyDescent="0.3">
      <c r="A272" s="316" t="s">
        <v>1500</v>
      </c>
      <c r="B272" s="1668" t="s">
        <v>1499</v>
      </c>
      <c r="C272" s="316" t="s">
        <v>1498</v>
      </c>
      <c r="D272" s="316" t="s">
        <v>1497</v>
      </c>
      <c r="E272" s="316" t="str">
        <f>tabIdiomas26[[#This Row],[Cadena]]</f>
        <v>Imposto sobre Sociedades (IS)</v>
      </c>
    </row>
    <row r="273" spans="1:5" x14ac:dyDescent="0.3">
      <c r="A273" s="316" t="s">
        <v>1724</v>
      </c>
      <c r="B273" s="316" t="s">
        <v>1729</v>
      </c>
      <c r="C273" s="316" t="s">
        <v>1726</v>
      </c>
      <c r="D273" s="316" t="s">
        <v>1724</v>
      </c>
      <c r="E273" s="316" t="str">
        <f>tabIdiomas26[[#This Row],[Cadena]]</f>
        <v>Crédito Fiscal</v>
      </c>
    </row>
    <row r="274" spans="1:5" x14ac:dyDescent="0.3">
      <c r="A274" s="316" t="s">
        <v>1725</v>
      </c>
      <c r="B274" s="316" t="s">
        <v>1728</v>
      </c>
      <c r="C274" s="316" t="s">
        <v>1727</v>
      </c>
      <c r="D274" s="316" t="s">
        <v>1725</v>
      </c>
      <c r="E274" s="316" t="str">
        <f>tabIdiomas26[[#This Row],[Cadena]]</f>
        <v>Crédito Fiscal Acumulado</v>
      </c>
    </row>
    <row r="275" spans="1:5" x14ac:dyDescent="0.3">
      <c r="A275" s="316" t="s">
        <v>1494</v>
      </c>
      <c r="B275" s="1668" t="s">
        <v>1496</v>
      </c>
      <c r="C275" s="316" t="s">
        <v>1495</v>
      </c>
      <c r="D275" s="316" t="s">
        <v>1494</v>
      </c>
      <c r="E275" s="316" t="str">
        <f>tabIdiomas26[[#This Row],[Cadena]]</f>
        <v>Resultado Neto</v>
      </c>
    </row>
    <row r="276" spans="1:5" x14ac:dyDescent="0.3">
      <c r="A276" s="316" t="s">
        <v>883</v>
      </c>
      <c r="B276" s="1668" t="s">
        <v>1493</v>
      </c>
      <c r="C276" s="316" t="s">
        <v>1492</v>
      </c>
      <c r="D276" s="316" t="s">
        <v>1491</v>
      </c>
      <c r="E276" s="316" t="str">
        <f>tabIdiomas26[[#This Row],[Cadena]]</f>
        <v>Resumo da Conta de Resultados:</v>
      </c>
    </row>
    <row r="277" spans="1:5" x14ac:dyDescent="0.3">
      <c r="A277" s="316" t="s">
        <v>882</v>
      </c>
      <c r="B277" s="1668" t="s">
        <v>1490</v>
      </c>
      <c r="C277" s="316" t="s">
        <v>1489</v>
      </c>
      <c r="D277" s="316" t="s">
        <v>1488</v>
      </c>
      <c r="E277" s="316" t="str">
        <f>tabIdiomas26[[#This Row],[Cadena]]</f>
        <v>Suma de Ingresos Monetarios (Cotas)</v>
      </c>
    </row>
    <row r="278" spans="1:5" ht="28.8" x14ac:dyDescent="0.3">
      <c r="A278" s="316" t="s">
        <v>1487</v>
      </c>
      <c r="B278" s="1668" t="s">
        <v>1486</v>
      </c>
      <c r="C278" s="316" t="s">
        <v>1485</v>
      </c>
      <c r="D278" s="316" t="s">
        <v>1484</v>
      </c>
      <c r="E278" s="316" t="str">
        <f>tabIdiomas26[[#This Row],[Cadena]]</f>
        <v>Suma de Outros Ingresos Monetarios (Imputación Subvención)</v>
      </c>
    </row>
    <row r="279" spans="1:5" x14ac:dyDescent="0.3">
      <c r="A279" s="316" t="s">
        <v>880</v>
      </c>
      <c r="B279" s="1668" t="s">
        <v>1483</v>
      </c>
      <c r="C279" s="316" t="s">
        <v>1482</v>
      </c>
      <c r="D279" s="316" t="s">
        <v>880</v>
      </c>
      <c r="E279" s="316" t="str">
        <f>tabIdiomas26[[#This Row],[Cadena]]</f>
        <v>Total Ingresos Monetarios Computables</v>
      </c>
    </row>
    <row r="280" spans="1:5" x14ac:dyDescent="0.3">
      <c r="A280" s="316" t="s">
        <v>879</v>
      </c>
      <c r="B280" s="1668" t="s">
        <v>1481</v>
      </c>
      <c r="C280" s="316" t="s">
        <v>1480</v>
      </c>
      <c r="D280" s="316" t="s">
        <v>1479</v>
      </c>
      <c r="E280" s="316" t="str">
        <f>tabIdiomas26[[#This Row],[Cadena]]</f>
        <v>Suma de Custos</v>
      </c>
    </row>
    <row r="281" spans="1:5" x14ac:dyDescent="0.3">
      <c r="A281" s="316" t="s">
        <v>878</v>
      </c>
      <c r="B281" s="1668" t="s">
        <v>1478</v>
      </c>
      <c r="C281" s="316" t="s">
        <v>1477</v>
      </c>
      <c r="D281" s="316" t="s">
        <v>1476</v>
      </c>
      <c r="E281" s="316" t="str">
        <f>tabIdiomas26[[#This Row],[Cadena]]</f>
        <v>Superávit (+) ou Déficit (-)</v>
      </c>
    </row>
    <row r="282" spans="1:5" ht="28.8" x14ac:dyDescent="0.3">
      <c r="A282" s="316" t="s">
        <v>877</v>
      </c>
      <c r="B282" s="1668" t="s">
        <v>1475</v>
      </c>
      <c r="C282" s="316" t="s">
        <v>1474</v>
      </c>
      <c r="D282" s="316" t="s">
        <v>1473</v>
      </c>
      <c r="E282" s="316" t="str">
        <f>tabIdiomas26[[#This Row],[Cadena]]</f>
        <v>Determinación da Cota Promedio Necesaria Para a Cobertura de Custos:</v>
      </c>
    </row>
    <row r="283" spans="1:5" x14ac:dyDescent="0.3">
      <c r="A283" s="316" t="s">
        <v>868</v>
      </c>
      <c r="B283" s="1668" t="s">
        <v>1472</v>
      </c>
      <c r="C283" s="316" t="s">
        <v>1471</v>
      </c>
      <c r="D283" s="316" t="s">
        <v>1470</v>
      </c>
      <c r="E283" s="316" t="s">
        <v>868</v>
      </c>
    </row>
    <row r="284" spans="1:5" ht="43.2" x14ac:dyDescent="0.3">
      <c r="A284" s="316" t="s">
        <v>867</v>
      </c>
      <c r="B284" s="1668" t="s">
        <v>1469</v>
      </c>
      <c r="C284" s="316" t="s">
        <v>1468</v>
      </c>
      <c r="D284" s="316" t="s">
        <v>1467</v>
      </c>
      <c r="E284" s="316" t="str">
        <f>tabIdiomas26[[#This Row],[Cadena]]</f>
        <v>Cota Mínima a satisfacer polo Socio Tipo (Consumo = 294,41 KWh ao Mes)</v>
      </c>
    </row>
    <row r="285" spans="1:5" ht="28.8" x14ac:dyDescent="0.3">
      <c r="A285" s="316" t="s">
        <v>865</v>
      </c>
      <c r="B285" s="1668" t="s">
        <v>1466</v>
      </c>
      <c r="C285" s="316" t="s">
        <v>1465</v>
      </c>
      <c r="D285" s="316" t="s">
        <v>1464</v>
      </c>
      <c r="E285" s="316" t="str">
        <f>tabIdiomas26[[#This Row],[Cadena]]</f>
        <v>Cálculo da Incidencia do Impacto Fiscal sobre o Valor das Cotas de Socio</v>
      </c>
    </row>
    <row r="286" spans="1:5" x14ac:dyDescent="0.3">
      <c r="A286" s="316" t="s">
        <v>1463</v>
      </c>
      <c r="B286" s="1668" t="s">
        <v>1462</v>
      </c>
      <c r="C286" s="316" t="s">
        <v>1461</v>
      </c>
      <c r="D286" s="316" t="s">
        <v>1460</v>
      </c>
      <c r="E286" s="316" t="str">
        <f>tabIdiomas26[[#This Row],[Cadena]]</f>
        <v>Cota Tributaria</v>
      </c>
    </row>
    <row r="287" spans="1:5" x14ac:dyDescent="0.3">
      <c r="A287" s="316" t="s">
        <v>1459</v>
      </c>
      <c r="B287" s="1668" t="s">
        <v>1458</v>
      </c>
      <c r="C287" s="316" t="s">
        <v>1457</v>
      </c>
      <c r="D287" s="316" t="s">
        <v>1456</v>
      </c>
      <c r="E287" s="316" t="str">
        <f>tabIdiomas26[[#This Row],[Cadena]]</f>
        <v>Cota de Socio Mensual Axustada</v>
      </c>
    </row>
    <row r="288" spans="1:5" ht="28.8" x14ac:dyDescent="0.3">
      <c r="A288" s="316" t="s">
        <v>852</v>
      </c>
      <c r="B288" s="1668" t="s">
        <v>1455</v>
      </c>
      <c r="C288" s="316" t="s">
        <v>1454</v>
      </c>
      <c r="D288" s="316" t="s">
        <v>1453</v>
      </c>
      <c r="E288" s="316" t="str">
        <f>tabIdiomas26[[#This Row],[Cadena]]</f>
        <v>Cotas de Socios Axustadas por Impacto Fiscal no Ano Inicial</v>
      </c>
    </row>
    <row r="289" spans="1:5" ht="43.2" x14ac:dyDescent="0.3">
      <c r="A289" s="316" t="s">
        <v>849</v>
      </c>
      <c r="B289" s="1668" t="s">
        <v>1452</v>
      </c>
      <c r="C289" s="316" t="s">
        <v>1451</v>
      </c>
      <c r="D289" s="316" t="s">
        <v>1450</v>
      </c>
      <c r="E289" s="316" t="str">
        <f>tabIdiomas26[[#This Row],[Cadena]]</f>
        <v>Cota Mínima Axustada por Impacto Fiscal a satisfacer polo Socio Tipo (Consumo = 294,41 KWh ao Mes)</v>
      </c>
    </row>
    <row r="290" spans="1:5" x14ac:dyDescent="0.3">
      <c r="A290" s="316" t="s">
        <v>1071</v>
      </c>
      <c r="B290" s="1668" t="s">
        <v>1449</v>
      </c>
      <c r="C290" s="316" t="s">
        <v>1448</v>
      </c>
      <c r="D290" s="316" t="s">
        <v>1447</v>
      </c>
      <c r="E290" s="316" t="str">
        <f>tabIdiomas26[[#This Row],[Cadena]]</f>
        <v>Ingresos por Enerxía Autoconsumida</v>
      </c>
    </row>
    <row r="291" spans="1:5" ht="28.8" x14ac:dyDescent="0.3">
      <c r="A291" s="316" t="s">
        <v>1070</v>
      </c>
      <c r="B291" s="1668" t="s">
        <v>1446</v>
      </c>
      <c r="C291" s="316" t="s">
        <v>1445</v>
      </c>
      <c r="D291" s="316" t="s">
        <v>1444</v>
      </c>
      <c r="E291" s="316" t="str">
        <f>tabIdiomas26[[#This Row],[Cadena]]</f>
        <v>Ingresos por Enerxía Excedentaria Suxeita a Compensación</v>
      </c>
    </row>
    <row r="292" spans="1:5" x14ac:dyDescent="0.3">
      <c r="A292" s="316" t="s">
        <v>1069</v>
      </c>
      <c r="B292" s="1668" t="s">
        <v>1443</v>
      </c>
      <c r="C292" s="316" t="s">
        <v>1442</v>
      </c>
      <c r="D292" s="316" t="s">
        <v>1441</v>
      </c>
      <c r="E292" s="316" t="str">
        <f>tabIdiomas26[[#This Row],[Cadena]]</f>
        <v>Ingresos por Enerxía Excedentaria Vendida</v>
      </c>
    </row>
    <row r="293" spans="1:5" ht="28.8" x14ac:dyDescent="0.3">
      <c r="A293" s="316" t="s">
        <v>1440</v>
      </c>
      <c r="B293" s="1668" t="s">
        <v>1439</v>
      </c>
      <c r="C293" s="316" t="s">
        <v>1438</v>
      </c>
      <c r="D293" s="316" t="s">
        <v>1437</v>
      </c>
      <c r="E293" s="316" t="str">
        <f>tabIdiomas26[[#This Row],[Cadena]]</f>
        <v>Total Ingresos Derivados da Pertenza á Iniciativa Enerxética Comunitaria</v>
      </c>
    </row>
    <row r="294" spans="1:5" x14ac:dyDescent="0.3">
      <c r="A294" s="316" t="s">
        <v>1067</v>
      </c>
      <c r="B294" s="1668" t="s">
        <v>1436</v>
      </c>
      <c r="C294" s="316" t="s">
        <v>1067</v>
      </c>
      <c r="D294" s="316" t="s">
        <v>1067</v>
      </c>
      <c r="E294" s="316" t="str">
        <f>tabIdiomas26[[#This Row],[Cadena]]</f>
        <v>Total</v>
      </c>
    </row>
    <row r="295" spans="1:5" x14ac:dyDescent="0.3">
      <c r="A295" s="316" t="s">
        <v>1435</v>
      </c>
      <c r="B295" s="1668" t="s">
        <v>1434</v>
      </c>
      <c r="C295" s="316" t="s">
        <v>1433</v>
      </c>
      <c r="D295" s="316" t="s">
        <v>1432</v>
      </c>
      <c r="E295" s="316" t="str">
        <f>tabIdiomas26[[#This Row],[Cadena]]</f>
        <v>Conxunto do Proxecto</v>
      </c>
    </row>
    <row r="296" spans="1:5" ht="28.8" x14ac:dyDescent="0.3">
      <c r="A296" s="316" t="s">
        <v>1431</v>
      </c>
      <c r="B296" s="1668" t="s">
        <v>1430</v>
      </c>
      <c r="C296" s="316" t="s">
        <v>1429</v>
      </c>
      <c r="D296" s="316" t="s">
        <v>1742</v>
      </c>
      <c r="E296" s="316" t="str">
        <f>tabIdiomas26[[#This Row],[Cadena]]</f>
        <v>Cota Extraordinaria Inicial (Só Primeiro Ano)</v>
      </c>
    </row>
    <row r="297" spans="1:5" ht="28.8" x14ac:dyDescent="0.3">
      <c r="A297" s="316" t="s">
        <v>1428</v>
      </c>
      <c r="B297" s="1668" t="s">
        <v>1427</v>
      </c>
      <c r="C297" s="316" t="s">
        <v>1426</v>
      </c>
      <c r="D297" s="316" t="s">
        <v>1425</v>
      </c>
      <c r="E297" s="316" t="str">
        <f>tabIdiomas26[[#This Row],[Cadena]]</f>
        <v>Cargos por Prestación de Servizos Complementarios aos Socios</v>
      </c>
    </row>
    <row r="298" spans="1:5" ht="28.8" x14ac:dyDescent="0.3">
      <c r="A298" s="316" t="s">
        <v>1424</v>
      </c>
      <c r="B298" s="1668" t="s">
        <v>1423</v>
      </c>
      <c r="C298" s="316" t="s">
        <v>1422</v>
      </c>
      <c r="D298" s="316" t="s">
        <v>1421</v>
      </c>
      <c r="E298" s="316" t="str">
        <f>tabIdiomas26[[#This Row],[Cadena]]</f>
        <v>Total Gastos Derivados da Pertenza á Iniciativa Enerxética Comunitaria</v>
      </c>
    </row>
    <row r="299" spans="1:5" ht="43.2" x14ac:dyDescent="0.3">
      <c r="A299" s="316" t="s">
        <v>1420</v>
      </c>
      <c r="B299" s="1668" t="s">
        <v>1419</v>
      </c>
      <c r="C299" s="316" t="s">
        <v>1418</v>
      </c>
      <c r="D299" s="316" t="s">
        <v>1417</v>
      </c>
      <c r="E299" s="316" t="str">
        <f>tabIdiomas26[[#This Row],[Cadena]]</f>
        <v>Resultado Anual da Participación Colectiva dos Socios na Iniciativa Enerxética Comunitaria</v>
      </c>
    </row>
    <row r="300" spans="1:5" ht="28.8" x14ac:dyDescent="0.3">
      <c r="A300" s="316" t="s">
        <v>1062</v>
      </c>
      <c r="B300" s="1668" t="s">
        <v>1416</v>
      </c>
      <c r="C300" s="316" t="s">
        <v>1415</v>
      </c>
      <c r="D300" s="316" t="s">
        <v>1414</v>
      </c>
      <c r="E300" s="316" t="str">
        <f>tabIdiomas26[[#This Row],[Cadena]]</f>
        <v>Valor Actual do Resultado Anual da Participación do Socio</v>
      </c>
    </row>
    <row r="301" spans="1:5" x14ac:dyDescent="0.3">
      <c r="A301" s="316" t="s">
        <v>1411</v>
      </c>
      <c r="B301" s="1668" t="s">
        <v>1413</v>
      </c>
      <c r="C301" s="316" t="s">
        <v>1412</v>
      </c>
      <c r="D301" s="316" t="s">
        <v>1411</v>
      </c>
      <c r="E301" s="316" t="str">
        <f>tabIdiomas26[[#This Row],[Cadena]]</f>
        <v>Importante:</v>
      </c>
    </row>
    <row r="302" spans="1:5" ht="43.2" x14ac:dyDescent="0.3">
      <c r="A302" s="316" t="s">
        <v>1410</v>
      </c>
      <c r="B302" s="1668" t="s">
        <v>1409</v>
      </c>
      <c r="C302" s="316" t="s">
        <v>1408</v>
      </c>
      <c r="D302" s="316" t="s">
        <v>1407</v>
      </c>
      <c r="E302" s="316" t="str">
        <f>tabIdiomas26[[#This Row],[Cadena]]</f>
        <v>Os datos desta folla cumpliméntase automaticamente, polo que non procede a súa modificación manual.</v>
      </c>
    </row>
    <row r="303" spans="1:5" ht="28.8" x14ac:dyDescent="0.3">
      <c r="A303" s="316" t="s">
        <v>1058</v>
      </c>
      <c r="B303" s="1668" t="s">
        <v>1406</v>
      </c>
      <c r="C303" s="316" t="s">
        <v>1405</v>
      </c>
      <c r="D303" s="316" t="s">
        <v>1404</v>
      </c>
      <c r="E303" s="316" t="str">
        <f>tabIdiomas26[[#This Row],[Cadena]]</f>
        <v>Valor Actual Neto dos Fluxos Positivos de Valor Económico</v>
      </c>
    </row>
    <row r="304" spans="1:5" ht="28.8" x14ac:dyDescent="0.3">
      <c r="A304" s="316" t="s">
        <v>1057</v>
      </c>
      <c r="B304" s="1668" t="s">
        <v>1403</v>
      </c>
      <c r="C304" s="316" t="s">
        <v>1402</v>
      </c>
      <c r="D304" s="316" t="s">
        <v>1401</v>
      </c>
      <c r="E304" s="316" t="str">
        <f>tabIdiomas26[[#This Row],[Cadena]]</f>
        <v>Valor Actual Neto dos Fluxos de Valor Económico Esperados</v>
      </c>
    </row>
    <row r="305" spans="1:5" x14ac:dyDescent="0.3">
      <c r="A305" s="316" t="s">
        <v>1400</v>
      </c>
      <c r="B305" s="1668" t="s">
        <v>1399</v>
      </c>
      <c r="C305" s="316" t="s">
        <v>1398</v>
      </c>
      <c r="D305" s="316" t="s">
        <v>1397</v>
      </c>
      <c r="E305" s="316" t="str">
        <f>tabIdiomas26[[#This Row],[Cadena]]</f>
        <v>TIR Conxunto dos Socios (%)</v>
      </c>
    </row>
    <row r="306" spans="1:5" x14ac:dyDescent="0.3">
      <c r="A306" s="316" t="s">
        <v>1396</v>
      </c>
      <c r="B306" s="1668" t="s">
        <v>1395</v>
      </c>
      <c r="C306" s="316" t="s">
        <v>1394</v>
      </c>
      <c r="D306" s="316" t="s">
        <v>1393</v>
      </c>
      <c r="E306" s="316" t="str">
        <f>tabIdiomas26[[#This Row],[Cadena]]</f>
        <v>TIR Modificada Conxunto dos Socios (%)</v>
      </c>
    </row>
    <row r="307" spans="1:5" ht="28.8" x14ac:dyDescent="0.3">
      <c r="A307" s="316" t="s">
        <v>1392</v>
      </c>
      <c r="B307" s="1668" t="s">
        <v>1391</v>
      </c>
      <c r="C307" s="316" t="s">
        <v>1390</v>
      </c>
      <c r="D307" s="316" t="s">
        <v>1389</v>
      </c>
      <c r="E307" s="316" t="str">
        <f>tabIdiomas26[[#This Row],[Cadena]]</f>
        <v>Comprobación da Coherencia entre os Resultados Individual e Colectivo</v>
      </c>
    </row>
    <row r="308" spans="1:5" ht="28.8" x14ac:dyDescent="0.3">
      <c r="A308" s="316" t="s">
        <v>1388</v>
      </c>
      <c r="B308" s="1668" t="s">
        <v>1387</v>
      </c>
      <c r="C308" s="316" t="s">
        <v>1386</v>
      </c>
      <c r="D308" s="316" t="s">
        <v>1385</v>
      </c>
      <c r="E308" s="316" t="str">
        <f>tabIdiomas26[[#This Row],[Cadena]]</f>
        <v>(Cela en Cor debe conter valor 0,00€; Cor Verde)</v>
      </c>
    </row>
    <row r="309" spans="1:5" ht="43.2" x14ac:dyDescent="0.3">
      <c r="A309" s="316" t="s">
        <v>1384</v>
      </c>
      <c r="B309" s="1668" t="s">
        <v>1383</v>
      </c>
      <c r="C309" s="316" t="s">
        <v>1382</v>
      </c>
      <c r="D309" s="316" t="s">
        <v>1381</v>
      </c>
      <c r="E309" s="316" t="str">
        <f>tabIdiomas26[[#This Row],[Cadena]]</f>
        <v>Resultado Anual da Participación do Socio Individual na Iniciativa Enerxética Comunitaria</v>
      </c>
    </row>
    <row r="310" spans="1:5" ht="28.8" x14ac:dyDescent="0.3">
      <c r="A310" s="316" t="s">
        <v>1074</v>
      </c>
      <c r="B310" s="1668" t="s">
        <v>1380</v>
      </c>
      <c r="C310" s="316" t="s">
        <v>1379</v>
      </c>
      <c r="D310" s="316" t="s">
        <v>1378</v>
      </c>
      <c r="E310" s="316" t="str">
        <f>tabIdiomas26[[#This Row],[Cadena]]</f>
        <v>Aportación Inicial do Socio á Iniciativa Enerxética Comunitaria</v>
      </c>
    </row>
    <row r="311" spans="1:5" x14ac:dyDescent="0.3">
      <c r="A311" s="316" t="s">
        <v>1377</v>
      </c>
      <c r="B311" s="1668" t="s">
        <v>1376</v>
      </c>
      <c r="C311" s="316" t="s">
        <v>1375</v>
      </c>
      <c r="D311" s="316" t="s">
        <v>1374</v>
      </c>
      <c r="E311" s="316" t="str">
        <f>tabIdiomas26[[#This Row],[Cadena]]</f>
        <v>TIR do Socio Individual (%)</v>
      </c>
    </row>
    <row r="312" spans="1:5" x14ac:dyDescent="0.3">
      <c r="A312" s="316" t="s">
        <v>1373</v>
      </c>
      <c r="B312" s="1668" t="s">
        <v>1372</v>
      </c>
      <c r="C312" s="316" t="s">
        <v>1371</v>
      </c>
      <c r="D312" s="316" t="s">
        <v>1370</v>
      </c>
      <c r="E312" s="316" t="str">
        <f>tabIdiomas26[[#This Row],[Cadena]]</f>
        <v>TIR Modificada do Socio Individual (%)</v>
      </c>
    </row>
    <row r="313" spans="1:5" x14ac:dyDescent="0.3">
      <c r="A313" s="316" t="s">
        <v>1136</v>
      </c>
      <c r="B313" s="1668" t="s">
        <v>1369</v>
      </c>
      <c r="C313" s="316" t="s">
        <v>1368</v>
      </c>
      <c r="D313" s="316" t="s">
        <v>1367</v>
      </c>
      <c r="E313" s="316" t="s">
        <v>1366</v>
      </c>
    </row>
    <row r="314" spans="1:5" x14ac:dyDescent="0.3">
      <c r="A314" s="316" t="s">
        <v>1180</v>
      </c>
      <c r="B314" s="1668" t="s">
        <v>1365</v>
      </c>
      <c r="C314" s="316" t="s">
        <v>1364</v>
      </c>
      <c r="D314" s="316" t="s">
        <v>1180</v>
      </c>
      <c r="E314" s="316" t="str">
        <f>tabIdiomas26[[#This Row],[Cadena]]</f>
        <v>Impacto Económico Positivo Total (Mensual)</v>
      </c>
    </row>
    <row r="315" spans="1:5" ht="43.2" x14ac:dyDescent="0.3">
      <c r="A315" s="316" t="s">
        <v>1363</v>
      </c>
      <c r="B315" s="1668" t="s">
        <v>1362</v>
      </c>
      <c r="C315" s="316" t="s">
        <v>1361</v>
      </c>
      <c r="D315" s="316" t="s">
        <v>1360</v>
      </c>
      <c r="E315" s="316" t="str">
        <f>tabIdiomas26[[#This Row],[Cadena]]</f>
        <v>(Aforro na Fatura e Ingresos por Compensación ou Venda da Enerxía Excedentaria)</v>
      </c>
    </row>
    <row r="316" spans="1:5" x14ac:dyDescent="0.3">
      <c r="A316" s="316" t="s">
        <v>1359</v>
      </c>
      <c r="B316" s="1668" t="s">
        <v>1358</v>
      </c>
      <c r="C316" s="316" t="s">
        <v>1357</v>
      </c>
      <c r="D316" s="316" t="s">
        <v>1356</v>
      </c>
      <c r="E316" s="316" t="str">
        <f>tabIdiomas26[[#This Row],[Cadena]]</f>
        <v>Conxunto Completo dos Socios</v>
      </c>
    </row>
    <row r="317" spans="1:5" ht="28.8" x14ac:dyDescent="0.3">
      <c r="A317" s="316" t="s">
        <v>1170</v>
      </c>
      <c r="B317" s="1668" t="s">
        <v>1355</v>
      </c>
      <c r="C317" s="316" t="s">
        <v>1354</v>
      </c>
      <c r="D317" s="316" t="s">
        <v>1353</v>
      </c>
      <c r="E317" s="316" t="str">
        <f>tabIdiomas26[[#This Row],[Cadena]]</f>
        <v>Cota Mensual Extraordinaria Primeiro Ano -€/Mes-</v>
      </c>
    </row>
    <row r="318" spans="1:5" ht="28.8" x14ac:dyDescent="0.3">
      <c r="A318" s="316" t="s">
        <v>1169</v>
      </c>
      <c r="B318" s="1668" t="s">
        <v>1352</v>
      </c>
      <c r="C318" s="316" t="s">
        <v>1351</v>
      </c>
      <c r="D318" s="316" t="s">
        <v>1350</v>
      </c>
      <c r="E318" s="316" t="str">
        <f>tabIdiomas26[[#This Row],[Cadena]]</f>
        <v>Cota Mensual Ordinaria (Todos os Anos) -€/Mes-</v>
      </c>
    </row>
    <row r="319" spans="1:5" ht="43.2" x14ac:dyDescent="0.3">
      <c r="A319" s="316" t="s">
        <v>1349</v>
      </c>
      <c r="B319" s="1668" t="s">
        <v>1348</v>
      </c>
      <c r="C319" s="316" t="s">
        <v>1347</v>
      </c>
      <c r="D319" s="316" t="s">
        <v>1346</v>
      </c>
      <c r="E319" s="316" t="str">
        <f>tabIdiomas26[[#This Row],[Cadena]]</f>
        <v>Outros Desembolsos Mensuais do Socio a Favor da Entidade Xestora da Iniciativa Enerxética Comunitaria -€/Mes-</v>
      </c>
    </row>
    <row r="320" spans="1:5" ht="43.2" x14ac:dyDescent="0.3">
      <c r="A320" s="316" t="s">
        <v>1345</v>
      </c>
      <c r="B320" s="1668" t="s">
        <v>1344</v>
      </c>
      <c r="C320" s="316" t="s">
        <v>1343</v>
      </c>
      <c r="D320" s="316" t="s">
        <v>1342</v>
      </c>
      <c r="E320" s="316" t="str">
        <f>tabIdiomas26[[#This Row],[Cadena]]</f>
        <v>Total de Custos Soportados polo Socio no Mes, Derivados da súa Pertenza á Iniciativa Enerxética Comunitaria (€)</v>
      </c>
    </row>
    <row r="321" spans="1:5" ht="43.2" x14ac:dyDescent="0.3">
      <c r="A321" s="316" t="s">
        <v>1341</v>
      </c>
      <c r="B321" s="1668" t="s">
        <v>1340</v>
      </c>
      <c r="C321" s="316" t="s">
        <v>1339</v>
      </c>
      <c r="D321" s="316" t="s">
        <v>1338</v>
      </c>
      <c r="E321" s="316" t="str">
        <f>tabIdiomas26[[#This Row],[Cadena]]</f>
        <v>Resultado Neto Mensual Esperado para o Socio da súa Pertenza á Iniciativa Enerxética Comunitaria (€)</v>
      </c>
    </row>
    <row r="322" spans="1:5" ht="43.2" x14ac:dyDescent="0.3">
      <c r="A322" s="316" t="s">
        <v>1337</v>
      </c>
      <c r="B322" s="1668" t="s">
        <v>1336</v>
      </c>
      <c r="C322" s="316" t="s">
        <v>1335</v>
      </c>
      <c r="D322" s="316" t="s">
        <v>1334</v>
      </c>
      <c r="E322" s="316" t="str">
        <f>tabIdiomas26[[#This Row],[Cadena]]</f>
        <v>Resultado Neto Mensual Esperado para o Socio da súa Pertenza á Iniciativa Enerxética Comunitaria (% s/ Fatura Inicial)</v>
      </c>
    </row>
    <row r="323" spans="1:5" x14ac:dyDescent="0.3">
      <c r="A323" s="316" t="s">
        <v>1026</v>
      </c>
      <c r="B323" s="1669" t="s">
        <v>1333</v>
      </c>
      <c r="C323" s="316" t="s">
        <v>1332</v>
      </c>
      <c r="D323" s="316" t="s">
        <v>1331</v>
      </c>
      <c r="E323" s="316" t="str">
        <f>tabIdiomas26[[#This Row],[Cadena]]</f>
        <v>Fluxos de caixa</v>
      </c>
    </row>
    <row r="324" spans="1:5" x14ac:dyDescent="0.3">
      <c r="A324" s="316" t="s">
        <v>1024</v>
      </c>
      <c r="B324" s="1668" t="s">
        <v>1330</v>
      </c>
      <c r="C324" s="316" t="s">
        <v>1329</v>
      </c>
      <c r="D324" s="316" t="s">
        <v>1024</v>
      </c>
      <c r="E324" s="316" t="str">
        <f>tabIdiomas26[[#This Row],[Cadena]]</f>
        <v>Conceptos</v>
      </c>
    </row>
    <row r="325" spans="1:5" x14ac:dyDescent="0.3">
      <c r="A325" s="316" t="s">
        <v>1022</v>
      </c>
      <c r="B325" s="1668" t="s">
        <v>1328</v>
      </c>
      <c r="C325" s="316" t="s">
        <v>1327</v>
      </c>
      <c r="D325" s="316" t="s">
        <v>1326</v>
      </c>
      <c r="E325" s="316" t="str">
        <f>tabIdiomas26[[#This Row],[Cadena]]</f>
        <v>Fluxo de Caixa Operativo</v>
      </c>
    </row>
    <row r="326" spans="1:5" x14ac:dyDescent="0.3">
      <c r="A326" s="316" t="s">
        <v>1323</v>
      </c>
      <c r="B326" s="1668" t="s">
        <v>1325</v>
      </c>
      <c r="C326" s="316" t="s">
        <v>1324</v>
      </c>
      <c r="D326" s="316" t="s">
        <v>1323</v>
      </c>
      <c r="E326" s="316" t="str">
        <f>tabIdiomas26[[#This Row],[Cadena]]</f>
        <v>Resultado de Explotación</v>
      </c>
    </row>
    <row r="327" spans="1:5" ht="28.8" x14ac:dyDescent="0.3">
      <c r="A327" s="316" t="s">
        <v>1322</v>
      </c>
      <c r="B327" s="1668" t="s">
        <v>1321</v>
      </c>
      <c r="C327" s="316" t="s">
        <v>1320</v>
      </c>
      <c r="D327" s="316" t="s">
        <v>1319</v>
      </c>
      <c r="E327" s="316" t="str">
        <f>tabIdiomas26[[#This Row],[Cadena]]</f>
        <v>(-) Ingresos por Enerxía Autoconsumida e Compensada</v>
      </c>
    </row>
    <row r="328" spans="1:5" x14ac:dyDescent="0.3">
      <c r="A328" s="316" t="s">
        <v>1318</v>
      </c>
      <c r="B328" s="316" t="s">
        <v>1317</v>
      </c>
      <c r="C328" s="316" t="s">
        <v>1316</v>
      </c>
      <c r="D328" s="316" t="s">
        <v>1315</v>
      </c>
      <c r="E328" s="316" t="str">
        <f>tabIdiomas26[[#This Row],[Cadena]]</f>
        <v>(+) Amortización do Investimento</v>
      </c>
    </row>
    <row r="329" spans="1:5" ht="28.8" x14ac:dyDescent="0.3">
      <c r="A329" s="316" t="s">
        <v>1314</v>
      </c>
      <c r="B329" s="316" t="s">
        <v>1313</v>
      </c>
      <c r="C329" s="316" t="s">
        <v>1312</v>
      </c>
      <c r="D329" s="316" t="s">
        <v>1311</v>
      </c>
      <c r="E329" s="316" t="str">
        <f>tabIdiomas26[[#This Row],[Cadena]]</f>
        <v>(+) Variación Neta do Capital Circulante (Estimado en 1 Mes de Gastos de Explotación)</v>
      </c>
    </row>
    <row r="330" spans="1:5" ht="28.8" x14ac:dyDescent="0.3">
      <c r="A330" s="316" t="s">
        <v>1310</v>
      </c>
      <c r="B330" s="316" t="s">
        <v>1309</v>
      </c>
      <c r="C330" s="316" t="s">
        <v>1308</v>
      </c>
      <c r="D330" s="316" t="s">
        <v>1307</v>
      </c>
      <c r="E330" s="316" t="str">
        <f>tabIdiomas26[[#This Row],[Cadena]]</f>
        <v>(-) Imputación de Subvencións no Resultado do Exercicio</v>
      </c>
    </row>
    <row r="331" spans="1:5" x14ac:dyDescent="0.3">
      <c r="A331" s="316" t="s">
        <v>1306</v>
      </c>
      <c r="B331" s="316" t="s">
        <v>1305</v>
      </c>
      <c r="C331" s="316" t="s">
        <v>1304</v>
      </c>
      <c r="D331" s="316" t="s">
        <v>1303</v>
      </c>
      <c r="E331" s="316" t="str">
        <f>tabIdiomas26[[#This Row],[Cadena]]</f>
        <v>(-) Ingresos Financeiros</v>
      </c>
    </row>
    <row r="332" spans="1:5" x14ac:dyDescent="0.3">
      <c r="A332" s="316" t="s">
        <v>1302</v>
      </c>
      <c r="B332" s="316" t="s">
        <v>1301</v>
      </c>
      <c r="C332" s="316" t="s">
        <v>1300</v>
      </c>
      <c r="D332" s="316" t="s">
        <v>1299</v>
      </c>
      <c r="E332" s="316" t="str">
        <f>tabIdiomas26[[#This Row],[Cadena]]</f>
        <v>(+) Gastos Financeiros (Intereses da Débeda)</v>
      </c>
    </row>
    <row r="333" spans="1:5" ht="28.8" x14ac:dyDescent="0.3">
      <c r="A333" s="316" t="s">
        <v>1298</v>
      </c>
      <c r="B333" s="316" t="s">
        <v>1297</v>
      </c>
      <c r="C333" s="316" t="s">
        <v>1296</v>
      </c>
      <c r="D333" s="316" t="s">
        <v>1295</v>
      </c>
      <c r="E333" s="316" t="str">
        <f>tabIdiomas26[[#This Row],[Cadena]]</f>
        <v>(-) / (+) Outros Ingresos e Gastos que Non Supoñen Fluxo de Efectivo</v>
      </c>
    </row>
    <row r="334" spans="1:5" ht="28.8" x14ac:dyDescent="0.3">
      <c r="A334" s="316" t="s">
        <v>1013</v>
      </c>
      <c r="B334" s="316" t="s">
        <v>1294</v>
      </c>
      <c r="C334" s="316" t="s">
        <v>1293</v>
      </c>
      <c r="D334" s="316" t="s">
        <v>1292</v>
      </c>
      <c r="E334" s="316" t="str">
        <f>tabIdiomas26[[#This Row],[Cadena]]</f>
        <v>(=) Fluxo de Caixa Operativo ou das Actividades de Explotación [A]</v>
      </c>
    </row>
    <row r="335" spans="1:5" x14ac:dyDescent="0.3">
      <c r="A335" s="316" t="s">
        <v>1012</v>
      </c>
      <c r="B335" s="316" t="s">
        <v>1291</v>
      </c>
      <c r="C335" s="316" t="s">
        <v>1290</v>
      </c>
      <c r="D335" s="316" t="s">
        <v>1289</v>
      </c>
      <c r="E335" s="316" t="str">
        <f>tabIdiomas26[[#This Row],[Cadena]]</f>
        <v>Fluxo de Caixa das Actividades de Investimento</v>
      </c>
    </row>
    <row r="336" spans="1:5" x14ac:dyDescent="0.3">
      <c r="A336" s="316" t="s">
        <v>1011</v>
      </c>
      <c r="B336" s="316" t="s">
        <v>1288</v>
      </c>
      <c r="C336" s="316" t="s">
        <v>1287</v>
      </c>
      <c r="D336" s="316" t="s">
        <v>1286</v>
      </c>
      <c r="E336" s="316" t="str">
        <f>tabIdiomas26[[#This Row],[Cadena]]</f>
        <v>(-) Pagos por Inversións Efectuadas</v>
      </c>
    </row>
    <row r="337" spans="1:5" x14ac:dyDescent="0.3">
      <c r="A337" s="316" t="s">
        <v>1010</v>
      </c>
      <c r="B337" s="316" t="s">
        <v>1285</v>
      </c>
      <c r="C337" s="316" t="s">
        <v>1284</v>
      </c>
      <c r="D337" s="316" t="s">
        <v>1283</v>
      </c>
      <c r="E337" s="316" t="str">
        <f>tabIdiomas26[[#This Row],[Cadena]]</f>
        <v>(+) Cobros por Desinversións Efectuadas</v>
      </c>
    </row>
    <row r="338" spans="1:5" ht="28.8" x14ac:dyDescent="0.3">
      <c r="A338" s="316" t="s">
        <v>1009</v>
      </c>
      <c r="B338" s="316" t="s">
        <v>1282</v>
      </c>
      <c r="C338" s="316" t="s">
        <v>1281</v>
      </c>
      <c r="D338" s="316" t="s">
        <v>1280</v>
      </c>
      <c r="E338" s="316" t="str">
        <f>tabIdiomas26[[#This Row],[Cadena]]</f>
        <v>(=) Fluxo de Caixa das Actividades de Investimento [B]</v>
      </c>
    </row>
    <row r="339" spans="1:5" ht="28.8" x14ac:dyDescent="0.3">
      <c r="A339" s="316" t="s">
        <v>1008</v>
      </c>
      <c r="B339" s="316" t="s">
        <v>1279</v>
      </c>
      <c r="C339" s="316" t="s">
        <v>1278</v>
      </c>
      <c r="D339" s="316" t="s">
        <v>1277</v>
      </c>
      <c r="E339" s="316" t="str">
        <f>tabIdiomas26[[#This Row],[Cadena]]</f>
        <v>Fluxo de Caixa das Actividades de Financiamento (Recursos Propios e Débeda)</v>
      </c>
    </row>
    <row r="340" spans="1:5" ht="28.8" x14ac:dyDescent="0.3">
      <c r="A340" s="316" t="s">
        <v>1007</v>
      </c>
      <c r="B340" s="316" t="s">
        <v>1276</v>
      </c>
      <c r="C340" s="316" t="s">
        <v>1275</v>
      </c>
      <c r="D340" s="316" t="s">
        <v>1274</v>
      </c>
      <c r="E340" s="316" t="str">
        <f>tabIdiomas26[[#This Row],[Cadena]]</f>
        <v>(+) Emisión de Instrumentos de Patrimonio (Accións ou Participacións)</v>
      </c>
    </row>
    <row r="341" spans="1:5" ht="28.8" x14ac:dyDescent="0.3">
      <c r="A341" s="316" t="s">
        <v>1006</v>
      </c>
      <c r="B341" s="316" t="s">
        <v>1273</v>
      </c>
      <c r="C341" s="316" t="s">
        <v>1272</v>
      </c>
      <c r="D341" s="641" t="s">
        <v>1271</v>
      </c>
      <c r="E341" s="316" t="str">
        <f>tabIdiomas26[[#This Row],[Cadena]]</f>
        <v>(-) Amortización de Instrumentos de Patrimonio (Accións ou Participacións)</v>
      </c>
    </row>
    <row r="342" spans="1:5" x14ac:dyDescent="0.3">
      <c r="A342" s="316" t="s">
        <v>1270</v>
      </c>
      <c r="B342" s="316" t="s">
        <v>1269</v>
      </c>
      <c r="C342" s="316" t="s">
        <v>1268</v>
      </c>
      <c r="D342" s="316" t="s">
        <v>1267</v>
      </c>
      <c r="E342" s="316" t="str">
        <f>tabIdiomas26[[#This Row],[Cadena]]</f>
        <v>(+) Subvencións Recibidas</v>
      </c>
    </row>
    <row r="343" spans="1:5" x14ac:dyDescent="0.3">
      <c r="A343" s="316" t="s">
        <v>1264</v>
      </c>
      <c r="B343" s="316" t="s">
        <v>1266</v>
      </c>
      <c r="C343" s="316" t="s">
        <v>1265</v>
      </c>
      <c r="D343" s="316" t="s">
        <v>1264</v>
      </c>
      <c r="E343" s="316" t="str">
        <f>tabIdiomas26[[#This Row],[Cadena]]</f>
        <v>(+) Concesión de Préstamo</v>
      </c>
    </row>
    <row r="344" spans="1:5" x14ac:dyDescent="0.3">
      <c r="A344" s="316" t="s">
        <v>1261</v>
      </c>
      <c r="B344" s="316" t="s">
        <v>1263</v>
      </c>
      <c r="C344" s="316" t="s">
        <v>1262</v>
      </c>
      <c r="D344" s="316" t="s">
        <v>1261</v>
      </c>
      <c r="E344" s="316" t="str">
        <f>tabIdiomas26[[#This Row],[Cadena]]</f>
        <v>(-) Amortización de préstamo</v>
      </c>
    </row>
    <row r="345" spans="1:5" ht="28.8" x14ac:dyDescent="0.3">
      <c r="A345" s="316" t="s">
        <v>1260</v>
      </c>
      <c r="B345" s="316" t="s">
        <v>1259</v>
      </c>
      <c r="C345" s="316" t="s">
        <v>1258</v>
      </c>
      <c r="D345" s="316" t="s">
        <v>1257</v>
      </c>
      <c r="E345" s="316" t="str">
        <f>tabIdiomas26[[#This Row],[Cadena]]</f>
        <v>(-) Pagos por Remuneración de Débeda (Intereses Préstamo)</v>
      </c>
    </row>
    <row r="346" spans="1:5" ht="28.8" x14ac:dyDescent="0.3">
      <c r="A346" s="316" t="s">
        <v>1001</v>
      </c>
      <c r="B346" s="316" t="s">
        <v>1256</v>
      </c>
      <c r="C346" s="316" t="s">
        <v>1255</v>
      </c>
      <c r="D346" s="641" t="s">
        <v>1001</v>
      </c>
      <c r="E346" s="316" t="str">
        <f>tabIdiomas26[[#This Row],[Cadena]]</f>
        <v>(-) Pagos por Remuneración de Instrumentos de Patrimonio (Dividendos)</v>
      </c>
    </row>
    <row r="347" spans="1:5" ht="28.8" x14ac:dyDescent="0.3">
      <c r="A347" s="316" t="s">
        <v>1254</v>
      </c>
      <c r="B347" s="316" t="s">
        <v>1253</v>
      </c>
      <c r="C347" s="316" t="s">
        <v>1252</v>
      </c>
      <c r="D347" s="316" t="s">
        <v>1251</v>
      </c>
      <c r="E347" s="316" t="str">
        <f>tabIdiomas26[[#This Row],[Cadena]]</f>
        <v>(=) Fluxo de Caixa das Actividades de Financiamento (Recursos Propios e Débeda) [C]</v>
      </c>
    </row>
    <row r="348" spans="1:5" x14ac:dyDescent="0.3">
      <c r="A348" s="316" t="s">
        <v>999</v>
      </c>
      <c r="B348" t="s">
        <v>1250</v>
      </c>
      <c r="C348" s="316" t="s">
        <v>1249</v>
      </c>
      <c r="D348" s="316" t="s">
        <v>999</v>
      </c>
      <c r="E348" s="316" t="str">
        <f>tabIdiomas26[[#This Row],[Cadena]]</f>
        <v>Cash Flow Libre [A+B+C]</v>
      </c>
    </row>
    <row r="349" spans="1:5" x14ac:dyDescent="0.3">
      <c r="A349" s="316" t="s">
        <v>998</v>
      </c>
      <c r="B349" t="s">
        <v>1248</v>
      </c>
      <c r="C349" s="316" t="s">
        <v>1247</v>
      </c>
      <c r="D349" s="316" t="s">
        <v>1246</v>
      </c>
      <c r="E349" s="316" t="str">
        <f>tabIdiomas26[[#This Row],[Cadena]]</f>
        <v>Cash Flow proxecto [A+B]</v>
      </c>
    </row>
    <row r="350" spans="1:5" x14ac:dyDescent="0.3">
      <c r="A350" s="316" t="s">
        <v>997</v>
      </c>
      <c r="B350" s="316" t="s">
        <v>1245</v>
      </c>
      <c r="C350" s="316" t="s">
        <v>1244</v>
      </c>
      <c r="D350" s="316" t="s">
        <v>1243</v>
      </c>
      <c r="E350" s="316" t="str">
        <f>tabIdiomas26[[#This Row],[Cadena]]</f>
        <v>Cash Flow dos Socios</v>
      </c>
    </row>
    <row r="351" spans="1:5" x14ac:dyDescent="0.3">
      <c r="A351" s="316" t="s">
        <v>996</v>
      </c>
      <c r="B351" s="316" t="s">
        <v>1242</v>
      </c>
      <c r="C351" s="316" t="s">
        <v>1241</v>
      </c>
      <c r="D351" s="316" t="s">
        <v>1240</v>
      </c>
      <c r="E351" s="316" t="str">
        <f>tabIdiomas26[[#This Row],[Cadena]]</f>
        <v>Valor Actual do Fluxo de Caixa</v>
      </c>
    </row>
    <row r="352" spans="1:5" x14ac:dyDescent="0.3">
      <c r="A352" s="316" t="s">
        <v>995</v>
      </c>
      <c r="B352" s="316" t="s">
        <v>1239</v>
      </c>
      <c r="C352" s="316" t="s">
        <v>1238</v>
      </c>
      <c r="D352" s="316" t="s">
        <v>1237</v>
      </c>
      <c r="E352" s="316" t="str">
        <f>tabIdiomas26[[#This Row],[Cadena]]</f>
        <v>Valor Actual Fluxo de Caixa Proxecto</v>
      </c>
    </row>
    <row r="353" spans="1:5" ht="28.8" x14ac:dyDescent="0.3">
      <c r="A353" s="316" t="s">
        <v>994</v>
      </c>
      <c r="B353" s="316" t="s">
        <v>1236</v>
      </c>
      <c r="C353" s="316" t="s">
        <v>1235</v>
      </c>
      <c r="D353" s="316" t="s">
        <v>1234</v>
      </c>
      <c r="E353" s="316" t="str">
        <f>tabIdiomas26[[#This Row],[Cadena]]</f>
        <v>Rendemento da instalación e recursos financeiros necesarios</v>
      </c>
    </row>
    <row r="354" spans="1:5" x14ac:dyDescent="0.3">
      <c r="A354" s="316" t="s">
        <v>993</v>
      </c>
      <c r="B354" s="316" t="s">
        <v>1233</v>
      </c>
      <c r="C354" s="316" t="s">
        <v>1232</v>
      </c>
      <c r="D354" s="316" t="s">
        <v>1231</v>
      </c>
      <c r="E354" s="316" t="str">
        <f>tabIdiomas26[[#This Row],[Cadena]]</f>
        <v>TIR proxecto</v>
      </c>
    </row>
    <row r="355" spans="1:5" x14ac:dyDescent="0.3">
      <c r="A355" s="316" t="s">
        <v>991</v>
      </c>
      <c r="B355" s="316" t="s">
        <v>1230</v>
      </c>
      <c r="C355" s="316" t="s">
        <v>1229</v>
      </c>
      <c r="D355" s="316" t="s">
        <v>1228</v>
      </c>
      <c r="E355" s="316" t="str">
        <f>tabIdiomas26[[#This Row],[Cadena]]</f>
        <v>TIR modificada proxecto</v>
      </c>
    </row>
    <row r="356" spans="1:5" x14ac:dyDescent="0.3">
      <c r="A356" s="316" t="s">
        <v>990</v>
      </c>
      <c r="B356" s="316" t="s">
        <v>1227</v>
      </c>
      <c r="C356" s="316" t="s">
        <v>1226</v>
      </c>
      <c r="D356" s="316" t="s">
        <v>1225</v>
      </c>
      <c r="E356" s="316" t="str">
        <f>tabIdiomas26[[#This Row],[Cadena]]</f>
        <v>TIR Socios Incluíndo Fluxos de Financiamento</v>
      </c>
    </row>
    <row r="357" spans="1:5" x14ac:dyDescent="0.3">
      <c r="A357" s="316" t="s">
        <v>988</v>
      </c>
      <c r="B357" s="316" t="s">
        <v>1224</v>
      </c>
      <c r="C357" s="316" t="s">
        <v>1223</v>
      </c>
      <c r="D357" s="316" t="s">
        <v>1222</v>
      </c>
      <c r="E357" s="316" t="str">
        <f>tabIdiomas26[[#This Row],[Cadena]]</f>
        <v>TIR Modificada dos Socios</v>
      </c>
    </row>
    <row r="358" spans="1:5" ht="28.8" x14ac:dyDescent="0.3">
      <c r="A358" s="316" t="s">
        <v>987</v>
      </c>
      <c r="B358" s="316" t="s">
        <v>1221</v>
      </c>
      <c r="C358" s="316" t="s">
        <v>1220</v>
      </c>
      <c r="D358" s="316" t="s">
        <v>1219</v>
      </c>
      <c r="E358" s="316" t="str">
        <f>tabIdiomas26[[#This Row],[Cadena]]</f>
        <v>VAN Socios con Fluxos de Financiamento (ke 5%)</v>
      </c>
    </row>
    <row r="359" spans="1:5" ht="28.8" x14ac:dyDescent="0.3">
      <c r="A359" s="316" t="s">
        <v>1054</v>
      </c>
      <c r="B359" s="316" t="s">
        <v>1218</v>
      </c>
      <c r="C359" s="316" t="s">
        <v>1217</v>
      </c>
      <c r="D359" s="316" t="s">
        <v>1216</v>
      </c>
      <c r="E359" s="316" t="str">
        <f>tabIdiomas26[[#This Row],[Cadena]]</f>
        <v>Período de Recuperación do Investimento (Anos)</v>
      </c>
    </row>
    <row r="360" spans="1:5" ht="28.8" x14ac:dyDescent="0.3">
      <c r="A360" s="316" t="s">
        <v>1215</v>
      </c>
      <c r="B360" s="316" t="s">
        <v>1214</v>
      </c>
      <c r="C360" s="316" t="s">
        <v>1213</v>
      </c>
      <c r="D360" s="316" t="s">
        <v>1212</v>
      </c>
      <c r="E360" s="316" t="str">
        <f>tabIdiomas26[[#This Row],[Cadena]]</f>
        <v>Período de Recuperación do Investimento Excl. Subv. (Anos)</v>
      </c>
    </row>
    <row r="361" spans="1:5" x14ac:dyDescent="0.3">
      <c r="A361" s="316" t="s">
        <v>984</v>
      </c>
      <c r="B361" s="316" t="s">
        <v>1211</v>
      </c>
      <c r="C361" s="316" t="s">
        <v>1210</v>
      </c>
      <c r="D361" s="316" t="s">
        <v>1209</v>
      </c>
      <c r="E361" s="316" t="str">
        <f>tabIdiomas26[[#This Row],[Cadena]]</f>
        <v>Aportación de Capital Propio dos Socios</v>
      </c>
    </row>
    <row r="362" spans="1:5" x14ac:dyDescent="0.3">
      <c r="A362" s="316" t="s">
        <v>983</v>
      </c>
      <c r="B362" s="316" t="s">
        <v>1208</v>
      </c>
      <c r="C362" s="316" t="s">
        <v>1207</v>
      </c>
      <c r="D362" s="316" t="s">
        <v>983</v>
      </c>
      <c r="E362" s="316" t="str">
        <f>tabIdiomas26[[#This Row],[Cadena]]</f>
        <v>Subvención</v>
      </c>
    </row>
    <row r="363" spans="1:5" x14ac:dyDescent="0.3">
      <c r="A363" s="316" t="s">
        <v>982</v>
      </c>
      <c r="B363" s="316" t="s">
        <v>1206</v>
      </c>
      <c r="C363" s="316" t="s">
        <v>1205</v>
      </c>
      <c r="D363" s="316" t="s">
        <v>982</v>
      </c>
      <c r="E363" s="316" t="str">
        <f>tabIdiomas26[[#This Row],[Cadena]]</f>
        <v>Préstamo</v>
      </c>
    </row>
    <row r="364" spans="1:5" x14ac:dyDescent="0.3">
      <c r="A364" s="316" t="s">
        <v>981</v>
      </c>
      <c r="B364" s="10" t="s">
        <v>1204</v>
      </c>
      <c r="C364" s="316" t="s">
        <v>1203</v>
      </c>
      <c r="D364" s="316" t="s">
        <v>1202</v>
      </c>
      <c r="E364" s="316" t="str">
        <f>tabIdiomas26[[#This Row],[Cadena]]</f>
        <v>Total Recursos Financeiros (Propios e Alleos)</v>
      </c>
    </row>
    <row r="365" spans="1:5" ht="28.8" x14ac:dyDescent="0.3">
      <c r="A365" s="316" t="s">
        <v>980</v>
      </c>
      <c r="B365" s="316" t="s">
        <v>1201</v>
      </c>
      <c r="C365" s="316" t="s">
        <v>1200</v>
      </c>
      <c r="D365" s="316" t="s">
        <v>1199</v>
      </c>
      <c r="E365" s="316" t="str">
        <f>tabIdiomas26[[#This Row],[Cadena]]</f>
        <v>Desembolso Inicial (Incl. Renovación de Instalacións)</v>
      </c>
    </row>
    <row r="366" spans="1:5" x14ac:dyDescent="0.3">
      <c r="A366" s="316" t="s">
        <v>979</v>
      </c>
      <c r="B366" s="316" t="s">
        <v>1198</v>
      </c>
      <c r="C366" s="316" t="s">
        <v>1197</v>
      </c>
      <c r="D366" s="316" t="s">
        <v>1196</v>
      </c>
      <c r="E366" s="316" t="str">
        <f>tabIdiomas26[[#This Row],[Cadena]]</f>
        <v>Investimento</v>
      </c>
    </row>
    <row r="367" spans="1:5" x14ac:dyDescent="0.3">
      <c r="A367" s="316" t="s">
        <v>1193</v>
      </c>
      <c r="B367" s="316" t="s">
        <v>1195</v>
      </c>
      <c r="C367" s="316" t="s">
        <v>1194</v>
      </c>
      <c r="D367" s="316" t="s">
        <v>1193</v>
      </c>
      <c r="E367" s="316" t="str">
        <f>tabIdiomas26[[#This Row],[Cadena]]</f>
        <v>Para Necesidades Operativas:</v>
      </c>
    </row>
    <row r="368" spans="1:5" ht="57.6" x14ac:dyDescent="0.3">
      <c r="A368" s="316" t="s">
        <v>992</v>
      </c>
      <c r="B368" s="316" t="s">
        <v>1192</v>
      </c>
      <c r="C368" s="316" t="s">
        <v>1191</v>
      </c>
      <c r="D368" s="316" t="s">
        <v>1706</v>
      </c>
      <c r="E368" s="316" t="str">
        <f>tabIdiomas26[[#This Row],[Cadena]]</f>
        <v>Ter en conta se está a excluír ou non o valor da enerxía producida e transmitida gratuitamente aos socios para o seu autoconsumo ou compensación.</v>
      </c>
    </row>
    <row r="369" spans="1:5" x14ac:dyDescent="0.3">
      <c r="A369" s="316" t="s">
        <v>1025</v>
      </c>
      <c r="B369" s="316" t="s">
        <v>1190</v>
      </c>
      <c r="C369" s="316" t="s">
        <v>1189</v>
      </c>
      <c r="D369" s="316" t="s">
        <v>1188</v>
      </c>
      <c r="E369" s="316" t="str">
        <f>tabIdiomas26[[#This Row],[Cadena]]</f>
        <v>Total Proxecto</v>
      </c>
    </row>
    <row r="370" spans="1:5" x14ac:dyDescent="0.3">
      <c r="A370" s="316" t="s">
        <v>1187</v>
      </c>
      <c r="B370" s="316" t="s">
        <v>1186</v>
      </c>
      <c r="C370" s="316" t="s">
        <v>1185</v>
      </c>
      <c r="D370" s="316" t="s">
        <v>1184</v>
      </c>
      <c r="E370" s="316" t="str">
        <f>tabIdiomas26[[#This Row],[Cadena]]</f>
        <v>Conxunto dos 25 Anos</v>
      </c>
    </row>
    <row r="371" spans="1:5" ht="43.2" x14ac:dyDescent="0.3">
      <c r="A371" s="316" t="s">
        <v>989</v>
      </c>
      <c r="B371" s="316" t="s">
        <v>1183</v>
      </c>
      <c r="C371" s="316" t="s">
        <v>1182</v>
      </c>
      <c r="D371" s="316" t="s">
        <v>1181</v>
      </c>
      <c r="E371" s="316" t="str">
        <f>tabIdiomas26[[#This Row],[Cadena]]</f>
        <v>Inclusión do Valor da Enerxía Producida como Ingreso que Si Xera un Fluxo de Efectivo Pseudo-Monetario (Si/Non)</v>
      </c>
    </row>
    <row r="372" spans="1:5" x14ac:dyDescent="0.3">
      <c r="A372" s="316" t="s">
        <v>1696</v>
      </c>
      <c r="B372" s="316" t="s">
        <v>1737</v>
      </c>
      <c r="C372" s="316" t="s">
        <v>1735</v>
      </c>
      <c r="D372" s="316" t="s">
        <v>1736</v>
      </c>
      <c r="E372" s="316" t="str">
        <f>tabIdiomas26[[#This Row],[Cadena]]</f>
        <v>Ano Inicial</v>
      </c>
    </row>
    <row r="373" spans="1:5" x14ac:dyDescent="0.3">
      <c r="A373" s="316" t="s">
        <v>1739</v>
      </c>
      <c r="B373" s="316" t="s">
        <v>1741</v>
      </c>
      <c r="C373" s="316" t="s">
        <v>1738</v>
      </c>
      <c r="D373" s="316" t="s">
        <v>1740</v>
      </c>
      <c r="E373" s="316" t="str">
        <f>tabIdiomas26[[#This Row],[Cadena]]</f>
        <v>Variación no Ano (€)</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6039-E254-4EA9-94A8-79FFBDDA6005}">
  <sheetPr>
    <tabColor rgb="FFFFFF00"/>
  </sheetPr>
  <dimension ref="A1:AZ6"/>
  <sheetViews>
    <sheetView workbookViewId="0">
      <selection activeCell="D267" sqref="D267"/>
    </sheetView>
  </sheetViews>
  <sheetFormatPr baseColWidth="10" defaultColWidth="11.44140625" defaultRowHeight="14.4" x14ac:dyDescent="0.3"/>
  <cols>
    <col min="1" max="1" width="20.77734375" bestFit="1" customWidth="1"/>
    <col min="2" max="2" width="20.21875" bestFit="1" customWidth="1"/>
    <col min="3" max="3" width="20.77734375" bestFit="1" customWidth="1"/>
    <col min="4" max="4" width="20.21875" bestFit="1" customWidth="1"/>
    <col min="12" max="12" width="20.21875" bestFit="1" customWidth="1"/>
    <col min="14" max="14" width="20.21875" bestFit="1" customWidth="1"/>
    <col min="15" max="15" width="26.21875" bestFit="1" customWidth="1"/>
    <col min="16" max="16" width="20.21875" bestFit="1" customWidth="1"/>
    <col min="18" max="18" width="20.21875" bestFit="1" customWidth="1"/>
    <col min="19" max="19" width="24.77734375" customWidth="1"/>
    <col min="20" max="20" width="20.21875" bestFit="1" customWidth="1"/>
    <col min="21" max="21" width="13.44140625" customWidth="1"/>
    <col min="22" max="22" width="21.77734375" bestFit="1" customWidth="1"/>
    <col min="23" max="23" width="16.44140625" customWidth="1"/>
    <col min="24" max="24" width="21.77734375" bestFit="1" customWidth="1"/>
    <col min="27" max="27" width="30.77734375" customWidth="1"/>
    <col min="28" max="28" width="7.77734375" customWidth="1"/>
    <col min="29" max="29" width="19.77734375" customWidth="1"/>
    <col min="30" max="30" width="24.21875" customWidth="1"/>
    <col min="33" max="33" width="41.44140625" customWidth="1"/>
    <col min="34" max="34" width="24.5546875" customWidth="1"/>
    <col min="35" max="35" width="17.21875" customWidth="1"/>
    <col min="36" max="36" width="20.21875" customWidth="1"/>
    <col min="38" max="38" width="20.77734375" customWidth="1"/>
    <col min="42" max="42" width="14.21875" customWidth="1"/>
    <col min="47" max="47" width="26.21875" customWidth="1"/>
    <col min="48" max="48" width="18.77734375" customWidth="1"/>
    <col min="49" max="49" width="25.77734375" customWidth="1"/>
    <col min="50" max="50" width="23.5546875" customWidth="1"/>
    <col min="51" max="51" width="10.77734375" customWidth="1"/>
    <col min="52" max="52" width="34.21875" bestFit="1" customWidth="1"/>
  </cols>
  <sheetData>
    <row r="1" spans="1:52" s="10" customFormat="1" ht="55.2" x14ac:dyDescent="0.3">
      <c r="A1" s="10" t="s">
        <v>36</v>
      </c>
      <c r="B1" s="224"/>
      <c r="C1" s="10" t="s">
        <v>50</v>
      </c>
      <c r="D1" s="224"/>
      <c r="E1" s="10" t="s">
        <v>636</v>
      </c>
      <c r="F1" s="224"/>
      <c r="G1" s="10" t="s">
        <v>637</v>
      </c>
      <c r="H1" s="224"/>
      <c r="I1" s="10" t="s">
        <v>638</v>
      </c>
      <c r="J1" s="224"/>
      <c r="K1" s="10" t="s">
        <v>639</v>
      </c>
      <c r="M1" s="225" t="s">
        <v>640</v>
      </c>
      <c r="O1" s="225" t="s">
        <v>641</v>
      </c>
      <c r="Q1" s="225" t="s">
        <v>642</v>
      </c>
      <c r="S1" s="225" t="s">
        <v>643</v>
      </c>
      <c r="U1" s="225" t="s">
        <v>301</v>
      </c>
      <c r="W1" s="225" t="s">
        <v>644</v>
      </c>
      <c r="Y1" s="1941" t="s">
        <v>431</v>
      </c>
      <c r="Z1" s="1942"/>
      <c r="AA1" s="226" t="s">
        <v>645</v>
      </c>
      <c r="AC1" s="1943" t="s">
        <v>495</v>
      </c>
      <c r="AD1" s="1944"/>
      <c r="AE1" s="1937" t="s">
        <v>498</v>
      </c>
      <c r="AF1" s="1938"/>
      <c r="AG1" s="226" t="s">
        <v>646</v>
      </c>
      <c r="AI1" s="1937" t="s">
        <v>504</v>
      </c>
      <c r="AJ1" s="1938"/>
      <c r="AK1" s="1937" t="s">
        <v>507</v>
      </c>
      <c r="AL1" s="1938"/>
      <c r="AM1" s="1937" t="s">
        <v>510</v>
      </c>
      <c r="AN1" s="1938"/>
      <c r="AO1" s="1937" t="s">
        <v>513</v>
      </c>
      <c r="AP1" s="1938"/>
      <c r="AQ1" s="1937" t="s">
        <v>516</v>
      </c>
      <c r="AR1" s="1938"/>
      <c r="AS1" s="1939" t="s">
        <v>519</v>
      </c>
      <c r="AT1" s="1940"/>
      <c r="AU1" s="235" t="s">
        <v>647</v>
      </c>
      <c r="AW1" s="225" t="s">
        <v>625</v>
      </c>
      <c r="AY1" s="225" t="s">
        <v>614</v>
      </c>
    </row>
    <row r="2" spans="1:52" x14ac:dyDescent="0.3">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
      <c r="A3" t="s">
        <v>1</v>
      </c>
      <c r="B3" t="str">
        <f>VLOOKUP(tabRespPreg130[[#This Row],[Respuestas Pregunta]],tabIdiomas[#Data],MATCH('General Hipotheses (INTRO)'!$D$2,tabIdiomas[#Headers],0),FALSE)</f>
        <v>Galicia</v>
      </c>
      <c r="C3" t="s">
        <v>50</v>
      </c>
      <c r="D3" t="str">
        <f>VLOOKUP(tabRespPreg231[[#This Row],[Respuestas Pregunta]],tabIdiomas[#Data],MATCH('General Hipotheses (INTRO)'!$D$2,tabIdiomas[#Headers],0),FALSE)</f>
        <v>Province</v>
      </c>
      <c r="E3" t="s">
        <v>69</v>
      </c>
      <c r="F3" t="str">
        <f>VLOOKUP(tabRespPreg24_132[[#This Row],[Respuestas Pregunta]],tabIdiomas[#Data],MATCH('General Hipotheses (INTRO)'!$D$2,tabIdiomas[#Headers],0),FALSE)</f>
        <v>A Coruña</v>
      </c>
      <c r="G3" t="s">
        <v>103</v>
      </c>
      <c r="H3" t="str">
        <f>VLOOKUP(tabRespPreg1533[[#This Row],[Respuestas Pregunta]],tabIdiomas[#Data],MATCH('General Hipotheses (INTRO)'!$D$2,tabIdiomas[#Headers],0),FALSE)</f>
        <v>Yes</v>
      </c>
      <c r="I3" t="s">
        <v>103</v>
      </c>
      <c r="J3" t="str">
        <f>VLOOKUP(tabRespPreg15634[[#This Row],[Respuestas Pregunta]],tabIdiomas[#Data],MATCH('General Hipotheses (INTRO)'!$D$2,tabIdiomas[#Headers],0),FALSE)</f>
        <v>Yes</v>
      </c>
      <c r="K3" t="s">
        <v>165</v>
      </c>
      <c r="L3" t="str">
        <f>VLOOKUP(tabRespPreg156835[[#This Row],[Respuestas Pregunta]],tabIdiomas[#Data],MATCH('General Hipotheses (INTRO)'!$D$2,tabIdiomas[#Headers],0),FALSE)</f>
        <v>Fixed</v>
      </c>
      <c r="M3" t="s">
        <v>103</v>
      </c>
      <c r="N3" t="str">
        <f>VLOOKUP(tabRespPreg151036[[#This Row],[Respuestas Pregunta]],tabIdiomas[#Data],MATCH('General Hipotheses (INTRO)'!$D$2,tabIdiomas[#Headers],0),FALSE)</f>
        <v>Yes</v>
      </c>
      <c r="O3" t="s">
        <v>184</v>
      </c>
      <c r="P3" t="str">
        <f>VLOOKUP(tabRespPreg11237[[#This Row],[Respuestas Pregunta]],tabIdiomas[#Data],MATCH('General Hipotheses (INTRO)'!$D$2,tabIdiomas[#Headers],0),FALSE)</f>
        <v>Own Staff</v>
      </c>
      <c r="Q3" t="s">
        <v>103</v>
      </c>
      <c r="R3" t="str">
        <f>VLOOKUP(tabRespPreg15101338[[#This Row],[Respuestas Pregunta]],tabIdiomas[#Data],MATCH('General Hipotheses (INTRO)'!$D$2,tabIdiomas[#Headers],0),FALSE)</f>
        <v>Yes</v>
      </c>
      <c r="S3" t="s">
        <v>103</v>
      </c>
      <c r="T3" t="str">
        <f>VLOOKUP(tabRespPreg1510131439[[#This Row],[Respuestas Pregunta]],tabIdiomas[#Data],MATCH('General Hipotheses (INTRO)'!$D$2,tabIdiomas[#Headers],0),FALSE)</f>
        <v>Yes</v>
      </c>
      <c r="U3" t="s">
        <v>304</v>
      </c>
      <c r="V3" t="str">
        <f>VLOOKUP(tabRespPreg151013141540[[#This Row],[Respuestas Pregunta]],tabIdiomas[#Data],MATCH('General Hipotheses (INTRO)'!$D$2,tabIdiomas[#Headers],0),FALSE)</f>
        <v>Compensation</v>
      </c>
      <c r="W3" t="s">
        <v>103</v>
      </c>
      <c r="X3" t="str">
        <f>VLOOKUP(tabRespPreg151013141641[[#This Row],[Respuestas Pregunta]],tabIdiomas[#Data],MATCH('General Hipotheses (INTRO)'!$D$2,tabIdiomas[#Headers],0),FALSE)</f>
        <v>Yes</v>
      </c>
      <c r="Y3" t="s">
        <v>103</v>
      </c>
      <c r="Z3" t="str">
        <f>VLOOKUP(tabRespPreg1510131416942[[#This Row],[Respuestas Pregunta]],tabIdiomas[#Data],MATCH('General Hipotheses (INTRO)'!$D$2,tabIdiomas[#Headers],0),FALSE)</f>
        <v>Yes</v>
      </c>
      <c r="AA3" t="s">
        <v>103</v>
      </c>
      <c r="AB3" t="str">
        <f>VLOOKUP(tabRespPreg15101314161143[[#This Row],[Respuestas Pregunta]],tabIdiomas[#Data],MATCH('General Hipotheses (INTRO)'!$D$2,tabIdiomas[#Headers],0),FALSE)</f>
        <v>Yes</v>
      </c>
      <c r="AC3" t="s">
        <v>103</v>
      </c>
      <c r="AD3" t="str">
        <f>VLOOKUP(tabRespPreg1510131416111744[[#This Row],[Respuestas Pregunta]],tabIdiomas[#Data],MATCH('General Hipotheses (INTRO)'!$D$2,tabIdiomas[#Headers],0),FALSE)</f>
        <v>Yes</v>
      </c>
      <c r="AE3" t="s">
        <v>103</v>
      </c>
      <c r="AF3" t="str">
        <f>VLOOKUP(tabRespPreg151013141611171845[[#This Row],[Respuestas Pregunta]],tabIdiomas[#Data],MATCH('General Hipotheses (INTRO)'!$D$2,tabIdiomas[#Headers],0),FALSE)</f>
        <v>Yes</v>
      </c>
      <c r="AG3" t="s">
        <v>467</v>
      </c>
      <c r="AH3" t="str">
        <f>VLOOKUP(tabRespPreg15101314162046[[#This Row],[Respuestas Pregunta]],tabIdiomas[#Data],MATCH('General Hipotheses (INTRO)'!$D$2,tabIdiomas[#Headers],0),FALSE)</f>
        <v>Automatic (Only for Galicia)</v>
      </c>
      <c r="AI3" t="s">
        <v>103</v>
      </c>
      <c r="AJ3" t="str">
        <f>VLOOKUP(tabRespPreg15101314161117181947[[#This Row],[Respuestas Pregunta]],tabIdiomas[#Data],MATCH('General Hipotheses (INTRO)'!$D$2,tabIdiomas[#Headers],0),FALSE)</f>
        <v>Yes</v>
      </c>
      <c r="AK3" t="s">
        <v>103</v>
      </c>
      <c r="AL3" t="str">
        <f>VLOOKUP(tabRespPreg1510131416111718192148[[#This Row],[Respuestas Pregunta]],tabIdiomas[#Data],MATCH('General Hipotheses (INTRO)'!$D$2,tabIdiomas[#Headers],0),FALSE)</f>
        <v>Yes</v>
      </c>
      <c r="AM3" t="s">
        <v>103</v>
      </c>
      <c r="AN3" t="str">
        <f>VLOOKUP(tabRespPreg151013141611171819212249[[#This Row],[Respuestas Pregunta]],tabIdiomas[#Data],MATCH('General Hipotheses (INTRO)'!$D$2,tabIdiomas[#Headers],0),FALSE)</f>
        <v>Yes</v>
      </c>
      <c r="AO3" t="s">
        <v>103</v>
      </c>
      <c r="AP3" t="str">
        <f>VLOOKUP(tabRespPreg15101314161117181921222350[[#This Row],[Respuestas Pregunta]],tabIdiomas[#Data],MATCH('General Hipotheses (INTRO)'!$D$2,tabIdiomas[#Headers],0),FALSE)</f>
        <v>Yes</v>
      </c>
      <c r="AQ3" t="s">
        <v>103</v>
      </c>
      <c r="AR3" t="str">
        <f>VLOOKUP(tabRespPreg1510131416111718192122232451[[#This Row],[Respuestas Pregunta]],tabIdiomas[#Data],MATCH('General Hipotheses (INTRO)'!$D$2,tabIdiomas[#Headers],0),FALSE)</f>
        <v>Yes</v>
      </c>
      <c r="AS3" t="s">
        <v>103</v>
      </c>
      <c r="AT3" t="str">
        <f>VLOOKUP(tabRespPreg151013141611171819212223242552[[#This Row],[Respuestas Pregunta]],tabIdiomas[#Data],MATCH('General Hipotheses (INTRO)'!$D$2,tabIdiomas[#Headers],0),FALSE)</f>
        <v>Yes</v>
      </c>
      <c r="AU3" t="s">
        <v>538</v>
      </c>
      <c r="AV3" t="str">
        <f>VLOOKUP(tabRespPreg1122753[[#This Row],[Respuestas Pregunta]],tabIdiomas[#Data],MATCH('General Hipotheses (INTRO)'!$D$2,tabIdiomas[#Headers],0),FALSE)</f>
        <v>Right Check</v>
      </c>
      <c r="AW3" t="s">
        <v>103</v>
      </c>
      <c r="AX3" t="str">
        <f>VLOOKUP(tabRespPreg15101314161117181921222324252854[[#This Row],[Respuestas Pregunta]],tabIdiomas[#Data],MATCH('General Hipotheses (INTRO)'!$D$2,tabIdiomas[#Headers],0),FALSE)</f>
        <v>Yes</v>
      </c>
      <c r="AY3" t="s">
        <v>18</v>
      </c>
      <c r="AZ3" t="str">
        <f>VLOOKUP(tabRespPreg112272955[[#This Row],[Respuestas Pregunta]],tabIdiomas[#Data],MATCH('General Hipotheses (INTRO)'!$D$2,tabIdiomas[#Headers],0),FALSE)</f>
        <v>VAT (Ordinary Tax Rate)</v>
      </c>
    </row>
    <row r="4" spans="1:52" x14ac:dyDescent="0.3">
      <c r="A4" t="s">
        <v>40</v>
      </c>
      <c r="B4" t="str">
        <f>VLOOKUP(tabRespPreg130[[#This Row],[Respuestas Pregunta]],tabIdiomas[#Data],MATCH('General Hipotheses (INTRO)'!$D$2,tabIdiomas[#Headers],0),FALSE)</f>
        <v>Rest of Spain</v>
      </c>
      <c r="E4" t="s">
        <v>70</v>
      </c>
      <c r="F4" t="str">
        <f>VLOOKUP(tabRespPreg24_132[[#This Row],[Respuestas Pregunta]],tabIdiomas[#Data],MATCH('General Hipotheses (INTRO)'!$D$2,tabIdiomas[#Headers],0),FALSE)</f>
        <v>Lugo</v>
      </c>
      <c r="G4" t="s">
        <v>12</v>
      </c>
      <c r="H4" t="str">
        <f>VLOOKUP(tabRespPreg1533[[#This Row],[Respuestas Pregunta]],tabIdiomas[#Data],MATCH('General Hipotheses (INTRO)'!$D$2,tabIdiomas[#Headers],0),FALSE)</f>
        <v>No</v>
      </c>
      <c r="I4" t="s">
        <v>12</v>
      </c>
      <c r="J4" t="str">
        <f>VLOOKUP(tabRespPreg15634[[#This Row],[Respuestas Pregunta]],tabIdiomas[#Data],MATCH('General Hipotheses (INTRO)'!$D$2,tabIdiomas[#Headers],0),FALSE)</f>
        <v>No</v>
      </c>
      <c r="K4" t="s">
        <v>168</v>
      </c>
      <c r="L4" t="str">
        <f>VLOOKUP(tabRespPreg156835[[#This Row],[Respuestas Pregunta]],tabIdiomas[#Data],MATCH('General Hipotheses (INTRO)'!$D$2,tabIdiomas[#Headers],0),FALSE)</f>
        <v>Proportional</v>
      </c>
      <c r="M4" t="s">
        <v>12</v>
      </c>
      <c r="N4" t="str">
        <f>VLOOKUP(tabRespPreg151036[[#This Row],[Respuestas Pregunta]],tabIdiomas[#Data],MATCH('General Hipotheses (INTRO)'!$D$2,tabIdiomas[#Headers],0),FALSE)</f>
        <v>No</v>
      </c>
      <c r="O4" t="s">
        <v>188</v>
      </c>
      <c r="P4" t="str">
        <f>VLOOKUP(tabRespPreg11237[[#This Row],[Respuestas Pregunta]],tabIdiomas[#Data],MATCH('General Hipotheses (INTRO)'!$D$2,tabIdiomas[#Headers],0),FALSE)</f>
        <v>Outsourcing</v>
      </c>
      <c r="Q4" t="s">
        <v>12</v>
      </c>
      <c r="R4" t="str">
        <f>VLOOKUP(tabRespPreg15101338[[#This Row],[Respuestas Pregunta]],tabIdiomas[#Data],MATCH('General Hipotheses (INTRO)'!$D$2,tabIdiomas[#Headers],0),FALSE)</f>
        <v>No</v>
      </c>
      <c r="S4" t="s">
        <v>12</v>
      </c>
      <c r="T4" t="str">
        <f>VLOOKUP(tabRespPreg1510131439[[#This Row],[Respuestas Pregunta]],tabIdiomas[#Data],MATCH('General Hipotheses (INTRO)'!$D$2,tabIdiomas[#Headers],0),FALSE)</f>
        <v>No</v>
      </c>
      <c r="U4" t="s">
        <v>306</v>
      </c>
      <c r="V4" t="str">
        <f>VLOOKUP(tabRespPreg151013141540[[#This Row],[Respuestas Pregunta]],tabIdiomas[#Data],MATCH('General Hipotheses (INTRO)'!$D$2,tabIdiomas[#Headers],0),FALSE)</f>
        <v>Sale</v>
      </c>
      <c r="W4" t="s">
        <v>12</v>
      </c>
      <c r="X4" t="str">
        <f>VLOOKUP(tabRespPreg151013141641[[#This Row],[Respuestas Pregunta]],tabIdiomas[#Data],MATCH('General Hipotheses (INTRO)'!$D$2,tabIdiomas[#Headers],0),FALSE)</f>
        <v>No</v>
      </c>
      <c r="Y4" t="s">
        <v>12</v>
      </c>
      <c r="Z4" t="str">
        <f>VLOOKUP(tabRespPreg1510131416942[[#This Row],[Respuestas Pregunta]],tabIdiomas[#Data],MATCH('General Hipotheses (INTRO)'!$D$2,tabIdiomas[#Headers],0),FALSE)</f>
        <v>No</v>
      </c>
      <c r="AA4" t="s">
        <v>12</v>
      </c>
      <c r="AB4" t="str">
        <f>VLOOKUP(tabRespPreg15101314161143[[#This Row],[Respuestas Pregunta]],tabIdiomas[#Data],MATCH('General Hipotheses (INTRO)'!$D$2,tabIdiomas[#Headers],0),FALSE)</f>
        <v>No</v>
      </c>
      <c r="AC4" t="s">
        <v>12</v>
      </c>
      <c r="AD4" t="str">
        <f>VLOOKUP(tabRespPreg1510131416111744[[#This Row],[Respuestas Pregunta]],tabIdiomas[#Data],MATCH('General Hipotheses (INTRO)'!$D$2,tabIdiomas[#Headers],0),FALSE)</f>
        <v>No</v>
      </c>
      <c r="AE4" t="s">
        <v>12</v>
      </c>
      <c r="AF4" t="str">
        <f>VLOOKUP(tabRespPreg151013141611171845[[#This Row],[Respuestas Pregunta]],tabIdiomas[#Data],MATCH('General Hipotheses (INTRO)'!$D$2,tabIdiomas[#Headers],0),FALSE)</f>
        <v>No</v>
      </c>
      <c r="AG4" t="s">
        <v>9</v>
      </c>
      <c r="AH4" t="str">
        <f>VLOOKUP(tabRespPreg15101314162046[[#This Row],[Respuestas Pregunta]],tabIdiomas[#Data],MATCH('General Hipotheses (INTRO)'!$D$2,tabIdiomas[#Headers],0),FALSE)</f>
        <v>Manual</v>
      </c>
      <c r="AI4" t="s">
        <v>12</v>
      </c>
      <c r="AJ4" t="str">
        <f>VLOOKUP(tabRespPreg15101314161117181947[[#This Row],[Respuestas Pregunta]],tabIdiomas[#Data],MATCH('General Hipotheses (INTRO)'!$D$2,tabIdiomas[#Headers],0),FALSE)</f>
        <v>No</v>
      </c>
      <c r="AK4" t="s">
        <v>12</v>
      </c>
      <c r="AL4" t="str">
        <f>VLOOKUP(tabRespPreg1510131416111718192148[[#This Row],[Respuestas Pregunta]],tabIdiomas[#Data],MATCH('General Hipotheses (INTRO)'!$D$2,tabIdiomas[#Headers],0),FALSE)</f>
        <v>No</v>
      </c>
      <c r="AM4" t="s">
        <v>12</v>
      </c>
      <c r="AN4" t="str">
        <f>VLOOKUP(tabRespPreg151013141611171819212249[[#This Row],[Respuestas Pregunta]],tabIdiomas[#Data],MATCH('General Hipotheses (INTRO)'!$D$2,tabIdiomas[#Headers],0),FALSE)</f>
        <v>No</v>
      </c>
      <c r="AO4" t="s">
        <v>12</v>
      </c>
      <c r="AP4" t="str">
        <f>VLOOKUP(tabRespPreg15101314161117181921222350[[#This Row],[Respuestas Pregunta]],tabIdiomas[#Data],MATCH('General Hipotheses (INTRO)'!$D$2,tabIdiomas[#Headers],0),FALSE)</f>
        <v>No</v>
      </c>
      <c r="AQ4" t="s">
        <v>12</v>
      </c>
      <c r="AR4" t="str">
        <f>VLOOKUP(tabRespPreg1510131416111718192122232451[[#This Row],[Respuestas Pregunta]],tabIdiomas[#Data],MATCH('General Hipotheses (INTRO)'!$D$2,tabIdiomas[#Headers],0),FALSE)</f>
        <v>No</v>
      </c>
      <c r="AS4" t="s">
        <v>12</v>
      </c>
      <c r="AT4" t="str">
        <f>VLOOKUP(tabRespPreg151013141611171819212223242552[[#This Row],[Respuestas Pregunta]],tabIdiomas[#Data],MATCH('General Hipotheses (INTRO)'!$D$2,tabIdiomas[#Headers],0),FALSE)</f>
        <v>No</v>
      </c>
      <c r="AU4" t="s">
        <v>541</v>
      </c>
      <c r="AV4" t="str">
        <f>VLOOKUP(tabRespPreg1122753[[#This Row],[Respuestas Pregunta]],tabIdiomas[#Data],MATCH('General Hipotheses (INTRO)'!$D$2,tabIdiomas[#Headers],0),FALSE)</f>
        <v>Not Applicable Check</v>
      </c>
      <c r="AW4" t="s">
        <v>12</v>
      </c>
      <c r="AX4" t="str">
        <f>VLOOKUP(tabRespPreg15101314161117181921222324252854[[#This Row],[Respuestas Pregunta]],tabIdiomas[#Data],MATCH('General Hipotheses (INTRO)'!$D$2,tabIdiomas[#Headers],0),FALSE)</f>
        <v>No</v>
      </c>
      <c r="AY4" t="s">
        <v>19</v>
      </c>
      <c r="AZ4" t="str">
        <f>VLOOKUP(tabRespPreg112272955[[#This Row],[Respuestas Pregunta]],tabIdiomas[#Data],MATCH('General Hipotheses (INTRO)'!$D$2,tabIdiomas[#Headers],0),FALSE)</f>
        <v>VAT (Reduced Electricity Tax Rate)</v>
      </c>
    </row>
    <row r="5" spans="1:52" x14ac:dyDescent="0.3">
      <c r="A5" t="s">
        <v>42</v>
      </c>
      <c r="B5" t="str">
        <f>VLOOKUP(tabRespPreg130[[#This Row],[Respuestas Pregunta]],tabIdiomas[#Data],MATCH('General Hipotheses (INTRO)'!$D$2,tabIdiomas[#Headers],0),FALSE)</f>
        <v>Other Countries</v>
      </c>
      <c r="E5" t="s">
        <v>71</v>
      </c>
      <c r="F5" t="str">
        <f>VLOOKUP(tabRespPreg24_132[[#This Row],[Respuestas Pregunta]],tabIdiomas[#Data],MATCH('General Hipotheses (INTRO)'!$D$2,tabIdiomas[#Headers],0),FALSE)</f>
        <v>Ourense</v>
      </c>
      <c r="O5" t="s">
        <v>182</v>
      </c>
      <c r="P5" t="str">
        <f>VLOOKUP(tabRespPreg11237[[#This Row],[Respuestas Pregunta]],tabIdiomas[#Data],MATCH('General Hipotheses (INTRO)'!$D$2,tabIdiomas[#Headers],0),FALSE)</f>
        <v>Self-Management</v>
      </c>
      <c r="AU5" t="s">
        <v>545</v>
      </c>
      <c r="AV5" t="str">
        <f>VLOOKUP(tabRespPreg1122753[[#This Row],[Respuestas Pregunta]],tabIdiomas[#Data],MATCH('General Hipotheses (INTRO)'!$D$2,tabIdiomas[#Headers],0),FALSE)</f>
        <v>Wrong Check</v>
      </c>
      <c r="AY5" t="s">
        <v>20</v>
      </c>
      <c r="AZ5" t="str">
        <f>VLOOKUP(tabRespPreg112272955[[#This Row],[Respuestas Pregunta]],tabIdiomas[#Data],MATCH('General Hipotheses (INTRO)'!$D$2,tabIdiomas[#Headers],0),FALSE)</f>
        <v>VAT (Extra-Reduced Electricity Tax Rate)</v>
      </c>
    </row>
    <row r="6" spans="1:52" x14ac:dyDescent="0.3">
      <c r="E6" t="s">
        <v>3</v>
      </c>
      <c r="F6" t="str">
        <f>VLOOKUP(tabRespPreg24_132[[#This Row],[Respuestas Pregunta]],tabIdiomas[#Data],MATCH('General Hipotheses (INTRO)'!$D$2,tabIdiomas[#Headers],0),FALSE)</f>
        <v>Pontevedra</v>
      </c>
    </row>
  </sheetData>
  <mergeCells count="9">
    <mergeCell ref="AO1:AP1"/>
    <mergeCell ref="AQ1:AR1"/>
    <mergeCell ref="AS1:AT1"/>
    <mergeCell ref="Y1:Z1"/>
    <mergeCell ref="AC1:AD1"/>
    <mergeCell ref="AE1:AF1"/>
    <mergeCell ref="AI1:AJ1"/>
    <mergeCell ref="AK1:AL1"/>
    <mergeCell ref="AM1:AN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A567-030D-4979-8227-03CE7DD996B9}">
  <sheetPr>
    <tabColor rgb="FFFFFF00"/>
  </sheetPr>
  <dimension ref="A1:A5"/>
  <sheetViews>
    <sheetView workbookViewId="0">
      <selection activeCell="D267" sqref="D267"/>
    </sheetView>
  </sheetViews>
  <sheetFormatPr baseColWidth="10" defaultColWidth="11.44140625" defaultRowHeight="14.4" x14ac:dyDescent="0.3"/>
  <sheetData>
    <row r="1" spans="1:1" x14ac:dyDescent="0.3">
      <c r="A1" s="221" t="s">
        <v>650</v>
      </c>
    </row>
    <row r="2" spans="1:1" x14ac:dyDescent="0.3">
      <c r="A2" t="str" cm="1">
        <f t="array" ref="A2:A5">_xlfn._xlws.FILTER(TRANSPOSE(_xlfn.UNIQUE(Idiomas!1:1)),(TRANSPOSE(_xlfn.UNIQUE(Idiomas!1:1))&lt;&gt;"")*(TRANSPOSE(_xlfn.UNIQUE(Idiomas!1:1))&lt;&gt;"Cadena"))</f>
        <v>Eestlane</v>
      </c>
    </row>
    <row r="3" spans="1:1" x14ac:dyDescent="0.3">
      <c r="A3" t="str">
        <v>English</v>
      </c>
    </row>
    <row r="4" spans="1:1" x14ac:dyDescent="0.3">
      <c r="A4" t="str">
        <v>Español</v>
      </c>
    </row>
    <row r="5" spans="1:1" x14ac:dyDescent="0.3">
      <c r="A5" t="str">
        <v>Galego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F00F87-14D3-4DBD-9C96-13C2E6A661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49</vt:i4>
      </vt:variant>
      <vt:variant>
        <vt:lpstr>Rangos con nombre</vt:lpstr>
      </vt:variant>
      <vt:variant>
        <vt:i4>47</vt:i4>
      </vt:variant>
    </vt:vector>
  </HeadingPairs>
  <TitlesOfParts>
    <vt:vector size="96" baseType="lpstr">
      <vt:lpstr>General Hipotheses (INTRO)</vt:lpstr>
      <vt:lpstr>Hipóteses Xerais</vt:lpstr>
      <vt:lpstr>Expenses Hipotheses (INTRO)</vt:lpstr>
      <vt:lpstr>Hipóteses Gastos</vt:lpstr>
      <vt:lpstr>General Real Data (Obs.)</vt:lpstr>
      <vt:lpstr>Partners Real Data</vt:lpstr>
      <vt:lpstr>Electric Invoice Actual Costs</vt:lpstr>
      <vt:lpstr>Hip. Custos Factura Eléctrica</vt:lpstr>
      <vt:lpstr>Idiomas</vt:lpstr>
      <vt:lpstr>Cuestións e Respostas</vt:lpstr>
      <vt:lpstr>Maestros</vt:lpstr>
      <vt:lpstr>Hipóteses --&gt;</vt:lpstr>
      <vt:lpstr>Hipóteses xerais (2)</vt:lpstr>
      <vt:lpstr>Hipóteses 2</vt:lpstr>
      <vt:lpstr>Est. Consumo Eléctrico Medio</vt:lpstr>
      <vt:lpstr>x Financiamento</vt:lpstr>
      <vt:lpstr>Estados financeiros --&gt;</vt:lpstr>
      <vt:lpstr>Conta explotación</vt:lpstr>
      <vt:lpstr>Estim. Gastos</vt:lpstr>
      <vt:lpstr>Estim. Ingresos</vt:lpstr>
      <vt:lpstr>Fluxo de caixa</vt:lpstr>
      <vt:lpstr>Fluxo de Caixa Neto Socio</vt:lpstr>
      <vt:lpstr>Datos CE e Socios</vt:lpstr>
      <vt:lpstr>Conta Conxunto de Socios</vt:lpstr>
      <vt:lpstr>Conta Individ. Socio</vt:lpstr>
      <vt:lpstr>Datos Custos Factura Eléctrica</vt:lpstr>
      <vt:lpstr>Simulac. Factura Indiv. Sen CE</vt:lpstr>
      <vt:lpstr>Simulac. Factura Indiv. Con CE</vt:lpstr>
      <vt:lpstr>Comparación Fras. Indiv.</vt:lpstr>
      <vt:lpstr>Datos Socios</vt:lpstr>
      <vt:lpstr>Factura Socios Sen CE</vt:lpstr>
      <vt:lpstr>Factura Socios Con CE</vt:lpstr>
      <vt:lpstr>Factura Socios Consumo Mínimo</vt:lpstr>
      <vt:lpstr>Ingresos Socios</vt:lpstr>
      <vt:lpstr>Resultado Socios</vt:lpstr>
      <vt:lpstr>Factura Socios Sen CE (2)</vt:lpstr>
      <vt:lpstr>Factura Socios Con CE (2)</vt:lpstr>
      <vt:lpstr>Ingresos Socios (2)</vt:lpstr>
      <vt:lpstr>Resultado Socios (2)</vt:lpstr>
      <vt:lpstr>Operating Account</vt:lpstr>
      <vt:lpstr>Cash Flow Statement</vt:lpstr>
      <vt:lpstr>Fluxo de Caixa Neto Socio (2)</vt:lpstr>
      <vt:lpstr>All Partners Accounts</vt:lpstr>
      <vt:lpstr>Individual Partner Account</vt:lpstr>
      <vt:lpstr>Indiv. Invoices Comparison</vt:lpstr>
      <vt:lpstr>Partner Acc. Heterogeneous P. </vt:lpstr>
      <vt:lpstr>Idiomas (2)</vt:lpstr>
      <vt:lpstr>Cuestións e Respostas (2)</vt:lpstr>
      <vt:lpstr>Maestros (2)</vt:lpstr>
      <vt:lpstr>'Cash Flow Statement'!Área_de_impresión</vt:lpstr>
      <vt:lpstr>'Conta explotación'!Área_de_impresión</vt:lpstr>
      <vt:lpstr>'Estados financeiros --&gt;'!Área_de_impresión</vt:lpstr>
      <vt:lpstr>'Fluxo de caixa'!Área_de_impresión</vt:lpstr>
      <vt:lpstr>'General Hipotheses (INTRO)'!Área_de_impresión</vt:lpstr>
      <vt:lpstr>'General Real Data (Obs.)'!Área_de_impresión</vt:lpstr>
      <vt:lpstr>'Hipóteses --&gt;'!Área_de_impresión</vt:lpstr>
      <vt:lpstr>'Hipóteses 2'!Área_de_impresión</vt:lpstr>
      <vt:lpstr>'Hipóteses Xerais'!Área_de_impresión</vt:lpstr>
      <vt:lpstr>'Hipóteses xerais (2)'!Área_de_impresión</vt:lpstr>
      <vt:lpstr>'Operating Account'!Área_de_impresión</vt:lpstr>
      <vt:lpstr>'x Financiamento'!Área_de_impresión</vt:lpstr>
      <vt:lpstr>'Cuestións e Respostas (2)'!ListadoIdiomas</vt:lpstr>
      <vt:lpstr>'Idiomas (2)'!ListadoIdiomas</vt:lpstr>
      <vt:lpstr>'Maestros (2)'!ListadoIdiomas</vt:lpstr>
      <vt:lpstr>ListadoIdiomas</vt:lpstr>
      <vt:lpstr>ListadoIdiomas1</vt:lpstr>
      <vt:lpstr>ListadoIdiomasR</vt:lpstr>
      <vt:lpstr>'Cuestións e Respostas (2)'!RespPreg1</vt:lpstr>
      <vt:lpstr>'General Real Data (Obs.)'!RespPreg1</vt:lpstr>
      <vt:lpstr>'Hip. Custos Factura Eléctrica'!RespPreg1</vt:lpstr>
      <vt:lpstr>'Hipóteses Gastos'!RespPreg1</vt:lpstr>
      <vt:lpstr>'Hipóteses Xerais'!RespPreg1</vt:lpstr>
      <vt:lpstr>'Idiomas (2)'!RespPreg1</vt:lpstr>
      <vt:lpstr>'Maestros (2)'!RespPreg1</vt:lpstr>
      <vt:lpstr>RespPreg1</vt:lpstr>
      <vt:lpstr>'General Real Data (Obs.)'!RespPreg1R</vt:lpstr>
      <vt:lpstr>RespPreg1R</vt:lpstr>
      <vt:lpstr>'General Real Data (Obs.)'!RespPregR</vt:lpstr>
      <vt:lpstr>RespPregR</vt:lpstr>
      <vt:lpstr>'Cuestións e Respostas (2)'!tabRespPreg3</vt:lpstr>
      <vt:lpstr>'General Real Data (Obs.)'!tabRespPreg3</vt:lpstr>
      <vt:lpstr>'Hip. Custos Factura Eléctrica'!tabRespPreg3</vt:lpstr>
      <vt:lpstr>'Hipóteses Gastos'!tabRespPreg3</vt:lpstr>
      <vt:lpstr>'Hipóteses Xerais'!tabRespPreg3</vt:lpstr>
      <vt:lpstr>'Idiomas (2)'!tabRespPreg3</vt:lpstr>
      <vt:lpstr>'Maestros (2)'!tabRespPreg3</vt:lpstr>
      <vt:lpstr>tabRespPreg3</vt:lpstr>
      <vt:lpstr>'General Real Data (Obs.)'!tabRespPreg3R</vt:lpstr>
      <vt:lpstr>tabRespPreg3R</vt:lpstr>
      <vt:lpstr>'General Real Data (Obs.)'!tabRespPreg3R2</vt:lpstr>
      <vt:lpstr>tabRespPreg3R2</vt:lpstr>
      <vt:lpstr>'Cash Flow Statement'!Títulos_a_imprimir</vt:lpstr>
      <vt:lpstr>'Conta explotación'!Títulos_a_imprimir</vt:lpstr>
      <vt:lpstr>'Fluxo de caixa'!Títulos_a_imprimir</vt:lpstr>
      <vt:lpstr>'General Real Data (Obs.)'!Títulos_a_imprimir</vt:lpstr>
      <vt:lpstr>'Operating Account'!Títulos_a_imprimir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Manuel Heredia</dc:creator>
  <cp:keywords/>
  <dc:description/>
  <cp:lastModifiedBy>José Manuel Heredia Conde</cp:lastModifiedBy>
  <cp:revision/>
  <cp:lastPrinted>2024-05-30T06:55:42Z</cp:lastPrinted>
  <dcterms:created xsi:type="dcterms:W3CDTF">2015-06-05T18:19:34Z</dcterms:created>
  <dcterms:modified xsi:type="dcterms:W3CDTF">2024-09-26T10:54:50Z</dcterms:modified>
  <cp:category/>
  <cp:contentStatus/>
</cp:coreProperties>
</file>