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comments7.xml" ContentType="application/vnd.openxmlformats-officedocument.spreadsheetml.comments+xml"/>
  <Override PartName="/xl/threadedComments/threadedComment6.xml" ContentType="application/vnd.ms-excel.threadedcomments+xml"/>
  <Override PartName="/xl/drawings/drawing1.xml" ContentType="application/vnd.openxmlformats-officedocument.drawing+xml"/>
  <Override PartName="/xl/comments8.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9.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0.xml" ContentType="application/vnd.openxmlformats-officedocument.spreadsheetml.comments+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always"/>
  <mc:AlternateContent xmlns:mc="http://schemas.openxmlformats.org/markup-compatibility/2006">
    <mc:Choice Requires="x15">
      <x15ac:absPath xmlns:x15ac="http://schemas.microsoft.com/office/spreadsheetml/2010/11/ac" url="https://universidadevigo-my.sharepoint.com/personal/xsimon_uvigo_gal/Documents/EÓLICA/JMH_CARTAFOL COMPARTIDO/Plan de Negocio CEs/Ferramenta Avaliación Económica Multilingüe (V. Public. Arquivo Único)/English/"/>
    </mc:Choice>
  </mc:AlternateContent>
  <xr:revisionPtr revIDLastSave="3040" documentId="8_{3A104223-4FE8-4D3A-B25B-F84C6284339F}" xr6:coauthVersionLast="47" xr6:coauthVersionMax="47" xr10:uidLastSave="{5213817C-8704-4087-9165-87935C152FA0}"/>
  <workbookProtection workbookAlgorithmName="SHA-512" workbookHashValue="vGAboD7QnHES0J8pErbQyxNCB5ASOfio3QfPEZpheBHZesJEooERJHm22uxOQ36HM1mE7PCqemHI5JiBzCPHyw==" workbookSaltValue="eWnS3pxq4ROl5cpi9475tw==" workbookSpinCount="100000" lockStructure="1"/>
  <bookViews>
    <workbookView xWindow="-110" yWindow="-110" windowWidth="19420" windowHeight="10420" xr2:uid="{00000000-000D-0000-FFFF-FFFF00000000}"/>
  </bookViews>
  <sheets>
    <sheet name="General Hipotheses (INTRO)" sheetId="2" r:id="rId1"/>
    <sheet name="Hipóteses Xerais" sheetId="9" state="hidden" r:id="rId2"/>
    <sheet name="Expenses Hipotheses (INTRO)" sheetId="3" r:id="rId3"/>
    <sheet name="Hipóteses Gastos" sheetId="10" state="hidden" r:id="rId4"/>
    <sheet name="Electric Invoice Costs (INTRO)" sheetId="5" r:id="rId5"/>
    <sheet name="Hip. Custos Factura Eléctrica" sheetId="11" state="hidden" r:id="rId6"/>
    <sheet name="Idiomas" sheetId="6" state="hidden" r:id="rId7"/>
    <sheet name="Cuestións e Respostas" sheetId="8" state="hidden" r:id="rId8"/>
    <sheet name="Maestros" sheetId="7" state="hidden" r:id="rId9"/>
    <sheet name="Hipóteses --&gt;" sheetId="12" state="hidden" r:id="rId10"/>
    <sheet name="Hipóteses xerais (2)" sheetId="13" state="hidden" r:id="rId11"/>
    <sheet name="Est. Consumo Electr." sheetId="23" state="hidden" r:id="rId12"/>
    <sheet name="Hipóteses 2" sheetId="14" state="hidden" r:id="rId13"/>
    <sheet name="x Financiamento" sheetId="15" state="hidden" r:id="rId14"/>
    <sheet name="Estados financeiros --&gt;" sheetId="16" state="hidden" r:id="rId15"/>
    <sheet name="Conta explotación" sheetId="17" state="hidden" r:id="rId16"/>
    <sheet name="Estim. Gastos" sheetId="18" state="hidden" r:id="rId17"/>
    <sheet name="Estim. Ingresos" sheetId="19" state="hidden" r:id="rId18"/>
    <sheet name="Fluxo de caixa" sheetId="20" state="hidden" r:id="rId19"/>
    <sheet name="Fluxo de Caixa Neto Socio" sheetId="21" state="hidden" r:id="rId20"/>
    <sheet name="Datos CE e Socios" sheetId="24" state="hidden" r:id="rId21"/>
    <sheet name="Conta Conxunto de Socios" sheetId="25" state="hidden" r:id="rId22"/>
    <sheet name="Conta Individ. Socio" sheetId="26" state="hidden" r:id="rId23"/>
    <sheet name="Datos Custos Factura Eléctrica" sheetId="27" state="hidden" r:id="rId24"/>
    <sheet name="Simulac. Factura Indiv. Sen CE" sheetId="28" state="hidden" r:id="rId25"/>
    <sheet name="Simulac. Factura Indiv. Con CE" sheetId="29" state="hidden" r:id="rId26"/>
    <sheet name="Comparación Fras. Indiv." sheetId="30" state="hidden" r:id="rId27"/>
    <sheet name="Datos Socios" sheetId="32" state="hidden" r:id="rId28"/>
    <sheet name="Factura Socios Sen CE" sheetId="33" state="hidden" r:id="rId29"/>
    <sheet name="Factura Socios Con CE" sheetId="34" state="hidden" r:id="rId30"/>
    <sheet name="Factura Socios Consumo Mínimo" sheetId="35" state="hidden" r:id="rId31"/>
    <sheet name="Ingresos Socios" sheetId="36" state="hidden" r:id="rId32"/>
    <sheet name="Resultado Socios" sheetId="37" state="hidden" r:id="rId33"/>
    <sheet name="Datos Socios (2)" sheetId="39" state="hidden" r:id="rId34"/>
    <sheet name="Factura Socios Sen CE (2)" sheetId="40" state="hidden" r:id="rId35"/>
    <sheet name="Factura Socios Con CE (2)" sheetId="41" state="hidden" r:id="rId36"/>
    <sheet name="Ingresos Socios (2)" sheetId="42" state="hidden" r:id="rId37"/>
    <sheet name="Resultado Socios (2)" sheetId="43" state="hidden" r:id="rId38"/>
    <sheet name="Operating Account" sheetId="45" r:id="rId39"/>
    <sheet name="Cash Flow Statement" sheetId="46" r:id="rId40"/>
    <sheet name="Fluxo de Caixa Neto Socio (2)" sheetId="47" state="hidden" r:id="rId41"/>
    <sheet name="All Partners Accounts" sheetId="48" r:id="rId42"/>
    <sheet name="Individual Partner Account" sheetId="49" r:id="rId43"/>
    <sheet name="Indiv. Invoices Comparison" sheetId="50" r:id="rId44"/>
    <sheet name="Partner Acc. Heterogeneous P. " sheetId="51" r:id="rId45"/>
    <sheet name="Idiomas (2)" sheetId="52" state="hidden" r:id="rId46"/>
    <sheet name="Cuestións e Respostas (2)" sheetId="53" state="hidden" r:id="rId47"/>
    <sheet name="Maestros (2)" sheetId="54" state="hidden" r:id="rId48"/>
  </sheets>
  <definedNames>
    <definedName name="_xlnm.Print_Area" localSheetId="39">'Cash Flow Statement'!$B$2:$AB$30</definedName>
    <definedName name="_xlnm.Print_Area" localSheetId="15">'Conta explotación'!$C$2:$AD$57</definedName>
    <definedName name="_xlnm.Print_Area" localSheetId="14">'Estados financeiros --&gt;'!$C$1:$J$15</definedName>
    <definedName name="_xlnm.Print_Area" localSheetId="18">'Fluxo de caixa'!$B$2:$AB$30</definedName>
    <definedName name="_xlnm.Print_Area" localSheetId="0">'General Hipotheses (INTRO)'!$B$4:$F$29</definedName>
    <definedName name="_xlnm.Print_Area" localSheetId="9">'Hipóteses --&gt;'!$C$1:$J$16</definedName>
    <definedName name="_xlnm.Print_Area" localSheetId="12">'Hipóteses 2'!$B$2:$H$9</definedName>
    <definedName name="_xlnm.Print_Area" localSheetId="1">'Hipóteses Xerais'!$B$4:$F$29</definedName>
    <definedName name="_xlnm.Print_Area" localSheetId="10">'Hipóteses xerais (2)'!$B$4:$F$35</definedName>
    <definedName name="_xlnm.Print_Area" localSheetId="38">'Operating Account'!$C$2:$AD$57</definedName>
    <definedName name="_xlnm.Print_Area" localSheetId="13">'x Financiamento'!$A$2:$F$26</definedName>
    <definedName name="ListadoIdiomas" localSheetId="46">'Maestros (2)'!$A$2:$A$5</definedName>
    <definedName name="ListadoIdiomas" localSheetId="45">'Maestros (2)'!$A$2:$A$5</definedName>
    <definedName name="ListadoIdiomas" localSheetId="47">'Maestros (2)'!$A$2:$A$5</definedName>
    <definedName name="ListadoIdiomas">Maestros!$A$2:$A$5</definedName>
    <definedName name="ListadoIdiomas1">Maestros!$A$2:$A$5</definedName>
    <definedName name="ListadoIdiomasR">'Maestros (2)'!$A$2:$A$5</definedName>
    <definedName name="RespPreg1" localSheetId="46">tabRespPreg130[Opciones mostradas]</definedName>
    <definedName name="RespPreg1" localSheetId="5">tabRespPreg1[Opciones mostradas]</definedName>
    <definedName name="RespPreg1" localSheetId="3">tabRespPreg1[Opciones mostradas]</definedName>
    <definedName name="RespPreg1" localSheetId="1">tabRespPreg1[Opciones mostradas]</definedName>
    <definedName name="RespPreg1" localSheetId="45">tabRespPreg130[Opciones mostradas]</definedName>
    <definedName name="RespPreg1" localSheetId="47">tabRespPreg1[Opciones mostradas]</definedName>
    <definedName name="RespPreg1">tabRespPreg1[Opciones mostradas]</definedName>
    <definedName name="RespPreg1R">tabRespPreg130[Opciones mostradas]</definedName>
    <definedName name="RespPreg1R2">tabRespPreg130[Opciones mostradas]</definedName>
    <definedName name="tabRespPreg3" localSheetId="46">tabRespPreg24_132[]</definedName>
    <definedName name="tabRespPreg3" localSheetId="5">tabRespPreg24_1[]</definedName>
    <definedName name="tabRespPreg3" localSheetId="3">tabRespPreg24_1[]</definedName>
    <definedName name="tabRespPreg3" localSheetId="1">tabRespPreg24_1[]</definedName>
    <definedName name="tabRespPreg3" localSheetId="45">tabRespPreg24_132[]</definedName>
    <definedName name="tabRespPreg3" localSheetId="47">tabRespPreg24_1[#Data]</definedName>
    <definedName name="tabRespPreg3">tabRespPreg24_1[]</definedName>
    <definedName name="tabRespPreg3R">tabRespPreg24_132[]</definedName>
    <definedName name="tabRespPreg3R2">tabRespPreg24_132[]</definedName>
    <definedName name="_xlnm.Print_Titles" localSheetId="39">'Cash Flow Statement'!$B:$B</definedName>
    <definedName name="_xlnm.Print_Titles" localSheetId="15">'Conta explotación'!$C:$C</definedName>
    <definedName name="_xlnm.Print_Titles" localSheetId="18">'Fluxo de caixa'!$B:$B</definedName>
    <definedName name="_xlnm.Print_Titles" localSheetId="38">'Operating Account'!$C:$C</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54" l="1" a="1"/>
  <c r="A2" i="54" s="1"/>
  <c r="B3" i="53"/>
  <c r="D3" i="53"/>
  <c r="F3" i="53"/>
  <c r="H3" i="53"/>
  <c r="J3" i="53"/>
  <c r="L3" i="53"/>
  <c r="N3" i="53"/>
  <c r="P3" i="53"/>
  <c r="R3" i="53"/>
  <c r="T3" i="53"/>
  <c r="V3" i="53"/>
  <c r="X3" i="53"/>
  <c r="Z3" i="53"/>
  <c r="AB3" i="53"/>
  <c r="AD3" i="53"/>
  <c r="AF3" i="53"/>
  <c r="AH3" i="53"/>
  <c r="AJ3" i="53"/>
  <c r="AL3" i="53"/>
  <c r="AN3" i="53"/>
  <c r="AP3" i="53"/>
  <c r="AR3" i="53"/>
  <c r="AT3" i="53"/>
  <c r="AV3" i="53"/>
  <c r="AX3" i="53"/>
  <c r="AZ3" i="53"/>
  <c r="B4" i="53"/>
  <c r="F4" i="53"/>
  <c r="H4" i="53"/>
  <c r="J4" i="53"/>
  <c r="L4" i="53"/>
  <c r="N4" i="53"/>
  <c r="P4" i="53"/>
  <c r="R4" i="53"/>
  <c r="T4" i="53"/>
  <c r="V4" i="53"/>
  <c r="X4" i="53"/>
  <c r="Z4" i="53"/>
  <c r="AB4" i="53"/>
  <c r="AD4" i="53"/>
  <c r="AF4" i="53"/>
  <c r="AH4" i="53"/>
  <c r="AJ4" i="53"/>
  <c r="AL4" i="53"/>
  <c r="AN4" i="53"/>
  <c r="AP4" i="53"/>
  <c r="AR4" i="53"/>
  <c r="AT4" i="53"/>
  <c r="AV4" i="53"/>
  <c r="AX4" i="53"/>
  <c r="AZ4" i="53"/>
  <c r="B5" i="53"/>
  <c r="F5" i="53"/>
  <c r="P5" i="53"/>
  <c r="AV5" i="53"/>
  <c r="AZ5" i="53"/>
  <c r="F6" i="53"/>
  <c r="E2" i="52"/>
  <c r="E3" i="52"/>
  <c r="E4" i="52"/>
  <c r="E5" i="52"/>
  <c r="E6" i="52"/>
  <c r="E7" i="52"/>
  <c r="E8" i="52"/>
  <c r="E9" i="52"/>
  <c r="E10" i="52"/>
  <c r="E11" i="52"/>
  <c r="E12" i="52"/>
  <c r="E13" i="52"/>
  <c r="E14" i="52"/>
  <c r="E15" i="52"/>
  <c r="E16" i="52"/>
  <c r="E17" i="52"/>
  <c r="E18" i="52"/>
  <c r="E19" i="52"/>
  <c r="E20" i="52"/>
  <c r="E21" i="52"/>
  <c r="E22" i="52"/>
  <c r="E23" i="52"/>
  <c r="E24" i="52"/>
  <c r="E25" i="52"/>
  <c r="E26" i="52"/>
  <c r="E27" i="52"/>
  <c r="E28" i="52"/>
  <c r="E29" i="52"/>
  <c r="E30" i="52"/>
  <c r="E31" i="52"/>
  <c r="E32" i="52"/>
  <c r="E33" i="52"/>
  <c r="E34" i="52"/>
  <c r="E35" i="52"/>
  <c r="E36" i="52"/>
  <c r="E37" i="52"/>
  <c r="E38" i="52"/>
  <c r="E39" i="52"/>
  <c r="E40" i="52"/>
  <c r="E41" i="52"/>
  <c r="E42" i="52"/>
  <c r="E43" i="52"/>
  <c r="E44" i="52"/>
  <c r="E45" i="52"/>
  <c r="E46" i="52"/>
  <c r="E47" i="52"/>
  <c r="E48" i="52"/>
  <c r="E49" i="52"/>
  <c r="E50" i="52"/>
  <c r="E51" i="52"/>
  <c r="E52" i="52"/>
  <c r="E53" i="52"/>
  <c r="E54" i="52"/>
  <c r="E55" i="52"/>
  <c r="E57" i="52"/>
  <c r="E58" i="52"/>
  <c r="E59" i="52"/>
  <c r="E60" i="52"/>
  <c r="E61" i="52"/>
  <c r="E62" i="52"/>
  <c r="E63" i="52"/>
  <c r="E64" i="52"/>
  <c r="E65" i="52"/>
  <c r="E66" i="52"/>
  <c r="E67" i="52"/>
  <c r="E68" i="52"/>
  <c r="E69" i="52"/>
  <c r="E70" i="52"/>
  <c r="E71" i="52"/>
  <c r="E72" i="52"/>
  <c r="E73" i="52"/>
  <c r="E74" i="52"/>
  <c r="E75" i="52"/>
  <c r="E76" i="52"/>
  <c r="E77" i="52"/>
  <c r="E78" i="52"/>
  <c r="E79" i="52"/>
  <c r="E80" i="52"/>
  <c r="E81" i="52"/>
  <c r="E82" i="52"/>
  <c r="E83" i="52"/>
  <c r="E84" i="52"/>
  <c r="E85" i="52"/>
  <c r="E86" i="52"/>
  <c r="E87" i="52"/>
  <c r="E88" i="52"/>
  <c r="E89" i="52"/>
  <c r="E90" i="52"/>
  <c r="E91" i="52"/>
  <c r="E92" i="52"/>
  <c r="E93" i="52"/>
  <c r="E94" i="52"/>
  <c r="E96" i="52"/>
  <c r="E97" i="52"/>
  <c r="E98" i="52"/>
  <c r="E99" i="52"/>
  <c r="E100" i="52"/>
  <c r="E101" i="52"/>
  <c r="E102" i="52"/>
  <c r="E103" i="52"/>
  <c r="E104" i="52"/>
  <c r="E105" i="52"/>
  <c r="E106" i="52"/>
  <c r="E107" i="52"/>
  <c r="E108" i="52"/>
  <c r="E109" i="52"/>
  <c r="E110" i="52"/>
  <c r="E111" i="52"/>
  <c r="E112" i="52"/>
  <c r="E113" i="52"/>
  <c r="E114" i="52"/>
  <c r="E115" i="52"/>
  <c r="E116" i="52"/>
  <c r="E117" i="52"/>
  <c r="E118" i="52"/>
  <c r="E119" i="52"/>
  <c r="E120" i="52"/>
  <c r="E121" i="52"/>
  <c r="E122" i="52"/>
  <c r="E123" i="52"/>
  <c r="E124" i="52"/>
  <c r="E125" i="52"/>
  <c r="E126" i="52"/>
  <c r="E127" i="52"/>
  <c r="E128" i="52"/>
  <c r="E129" i="52"/>
  <c r="E130" i="52"/>
  <c r="E131" i="52"/>
  <c r="E132" i="52"/>
  <c r="E133" i="52"/>
  <c r="E134" i="52"/>
  <c r="E135" i="52"/>
  <c r="E136" i="52"/>
  <c r="E137" i="52"/>
  <c r="E138" i="52"/>
  <c r="E139" i="52"/>
  <c r="E140" i="52"/>
  <c r="E141" i="52"/>
  <c r="E142" i="52"/>
  <c r="E143" i="52"/>
  <c r="E144" i="52"/>
  <c r="E145" i="52"/>
  <c r="E146" i="52"/>
  <c r="E147" i="52"/>
  <c r="E148" i="52"/>
  <c r="E149" i="52"/>
  <c r="E150" i="52"/>
  <c r="E151" i="52"/>
  <c r="E152" i="52"/>
  <c r="E153" i="52"/>
  <c r="E154" i="52"/>
  <c r="E155" i="52"/>
  <c r="E156" i="52"/>
  <c r="E157" i="52"/>
  <c r="E158" i="52"/>
  <c r="E159" i="52"/>
  <c r="E160" i="52"/>
  <c r="E161" i="52"/>
  <c r="E162" i="52"/>
  <c r="E163" i="52"/>
  <c r="E164" i="52"/>
  <c r="E165" i="52"/>
  <c r="E166" i="52"/>
  <c r="E167" i="52"/>
  <c r="E168" i="52"/>
  <c r="E169" i="52"/>
  <c r="E170" i="52"/>
  <c r="E171" i="52"/>
  <c r="E172" i="52"/>
  <c r="E173" i="52"/>
  <c r="E174" i="52"/>
  <c r="E175" i="52"/>
  <c r="E176" i="52"/>
  <c r="E177" i="52"/>
  <c r="E178" i="52"/>
  <c r="E179" i="52"/>
  <c r="E180" i="52"/>
  <c r="E181" i="52"/>
  <c r="E182" i="52"/>
  <c r="E183" i="52"/>
  <c r="E188" i="52"/>
  <c r="E189" i="52"/>
  <c r="E190" i="52"/>
  <c r="E191" i="52"/>
  <c r="E192" i="52"/>
  <c r="E193" i="52"/>
  <c r="E199" i="52"/>
  <c r="E200" i="52"/>
  <c r="E201" i="52"/>
  <c r="E202" i="52"/>
  <c r="E204" i="52"/>
  <c r="E205" i="52"/>
  <c r="E206" i="52"/>
  <c r="E210" i="52"/>
  <c r="E211" i="52"/>
  <c r="E212" i="52"/>
  <c r="E213" i="52"/>
  <c r="E214" i="52"/>
  <c r="E215" i="52"/>
  <c r="E217" i="52"/>
  <c r="E218" i="52"/>
  <c r="E221" i="52"/>
  <c r="E222" i="52"/>
  <c r="E223" i="52"/>
  <c r="E224" i="52"/>
  <c r="E225" i="52"/>
  <c r="E226" i="52"/>
  <c r="E227" i="52"/>
  <c r="E228" i="52"/>
  <c r="E229" i="52"/>
  <c r="E230" i="52"/>
  <c r="E231" i="52"/>
  <c r="E232" i="52"/>
  <c r="E236" i="52"/>
  <c r="E237" i="52"/>
  <c r="E238" i="52"/>
  <c r="E239" i="52"/>
  <c r="E240" i="52"/>
  <c r="E242" i="52"/>
  <c r="E243" i="52"/>
  <c r="E244" i="52"/>
  <c r="E245" i="52"/>
  <c r="E246" i="52"/>
  <c r="E247" i="52"/>
  <c r="E248" i="52"/>
  <c r="E249" i="52"/>
  <c r="E250" i="52"/>
  <c r="E251" i="52"/>
  <c r="E252" i="52"/>
  <c r="E253" i="52"/>
  <c r="E254" i="52"/>
  <c r="E256" i="52"/>
  <c r="E257" i="52"/>
  <c r="E258" i="52"/>
  <c r="E259" i="52"/>
  <c r="E260" i="52"/>
  <c r="E261" i="52"/>
  <c r="E262" i="52"/>
  <c r="E263" i="52"/>
  <c r="E264" i="52"/>
  <c r="E265" i="52"/>
  <c r="E266" i="52"/>
  <c r="E267" i="52"/>
  <c r="E268" i="52"/>
  <c r="E269" i="52"/>
  <c r="E270" i="52"/>
  <c r="E271" i="52"/>
  <c r="E272" i="52"/>
  <c r="E273" i="52"/>
  <c r="E274" i="52"/>
  <c r="E275" i="52"/>
  <c r="E276" i="52"/>
  <c r="E277" i="52"/>
  <c r="E278" i="52"/>
  <c r="E279" i="52"/>
  <c r="E280" i="52"/>
  <c r="E281" i="52"/>
  <c r="E282" i="52"/>
  <c r="E283" i="52"/>
  <c r="E284" i="52"/>
  <c r="E286" i="52"/>
  <c r="E287" i="52"/>
  <c r="E288" i="52"/>
  <c r="E289" i="52"/>
  <c r="E290" i="52"/>
  <c r="E291" i="52"/>
  <c r="E292" i="52"/>
  <c r="E293" i="52"/>
  <c r="E294" i="52"/>
  <c r="E295" i="52"/>
  <c r="E296" i="52"/>
  <c r="E297" i="52"/>
  <c r="E298" i="52"/>
  <c r="E299" i="52"/>
  <c r="E300" i="52"/>
  <c r="E301" i="52"/>
  <c r="E302" i="52"/>
  <c r="E303" i="52"/>
  <c r="E304" i="52"/>
  <c r="E305" i="52"/>
  <c r="E306" i="52"/>
  <c r="E307" i="52"/>
  <c r="E308" i="52"/>
  <c r="E309" i="52"/>
  <c r="E310" i="52"/>
  <c r="E311" i="52"/>
  <c r="E312" i="52"/>
  <c r="E313" i="52"/>
  <c r="E314" i="52"/>
  <c r="E315" i="52"/>
  <c r="E316" i="52"/>
  <c r="E317" i="52"/>
  <c r="E318" i="52"/>
  <c r="E319" i="52"/>
  <c r="E320" i="52"/>
  <c r="E321" i="52"/>
  <c r="E322" i="52"/>
  <c r="E323" i="52"/>
  <c r="E324" i="52"/>
  <c r="E325" i="52"/>
  <c r="E326" i="52"/>
  <c r="E327" i="52"/>
  <c r="E328" i="52"/>
  <c r="E329" i="52"/>
  <c r="E330" i="52"/>
  <c r="E331" i="52"/>
  <c r="E332" i="52"/>
  <c r="E333" i="52"/>
  <c r="E334" i="52"/>
  <c r="E335" i="52"/>
  <c r="E336" i="52"/>
  <c r="E337" i="52"/>
  <c r="E338" i="52"/>
  <c r="E339" i="52"/>
  <c r="E340" i="52"/>
  <c r="E341" i="52"/>
  <c r="E342" i="52"/>
  <c r="E343" i="52"/>
  <c r="B6" i="51"/>
  <c r="C6" i="51"/>
  <c r="D6" i="51"/>
  <c r="E6" i="51"/>
  <c r="F6" i="51"/>
  <c r="G6" i="51"/>
  <c r="H6" i="51"/>
  <c r="I6" i="51"/>
  <c r="J6" i="51"/>
  <c r="K6" i="51"/>
  <c r="L6" i="51"/>
  <c r="M6" i="51"/>
  <c r="N6" i="51"/>
  <c r="O6" i="51"/>
  <c r="P6" i="51"/>
  <c r="Q6" i="51"/>
  <c r="R6" i="51"/>
  <c r="S6" i="51"/>
  <c r="T6" i="51"/>
  <c r="U6" i="51"/>
  <c r="V6" i="51"/>
  <c r="W6" i="51"/>
  <c r="X6" i="51"/>
  <c r="Y6" i="51"/>
  <c r="Z6" i="51"/>
  <c r="B8" i="51"/>
  <c r="C8" i="51"/>
  <c r="D8" i="51"/>
  <c r="E8" i="51"/>
  <c r="F8" i="51"/>
  <c r="G8" i="51"/>
  <c r="H8" i="51"/>
  <c r="I8" i="51"/>
  <c r="J8" i="51"/>
  <c r="K8" i="51"/>
  <c r="L8" i="51"/>
  <c r="M8" i="51"/>
  <c r="N8" i="51"/>
  <c r="O8" i="51"/>
  <c r="P8" i="51"/>
  <c r="Q8" i="51"/>
  <c r="R8" i="51"/>
  <c r="S8" i="51"/>
  <c r="T8" i="51"/>
  <c r="U8" i="51"/>
  <c r="V8" i="51"/>
  <c r="W8" i="51"/>
  <c r="X8" i="51"/>
  <c r="Y8" i="51"/>
  <c r="Z8" i="51"/>
  <c r="B2" i="50"/>
  <c r="C2" i="50"/>
  <c r="D2" i="50" s="1"/>
  <c r="E2" i="50" s="1"/>
  <c r="J2" i="50"/>
  <c r="B3" i="50"/>
  <c r="C3" i="50"/>
  <c r="D3" i="50"/>
  <c r="E3" i="50" s="1"/>
  <c r="A4" i="50"/>
  <c r="B5" i="50"/>
  <c r="C5" i="50"/>
  <c r="B10" i="50"/>
  <c r="C10" i="50"/>
  <c r="D10" i="50" s="1"/>
  <c r="E10" i="50" s="1"/>
  <c r="A22" i="50"/>
  <c r="B22" i="50"/>
  <c r="A25" i="50"/>
  <c r="B34" i="50"/>
  <c r="B6" i="49"/>
  <c r="C6" i="49"/>
  <c r="D6" i="49" s="1"/>
  <c r="E6" i="49" s="1"/>
  <c r="F6" i="49" s="1"/>
  <c r="G6" i="49" s="1"/>
  <c r="B7" i="49"/>
  <c r="C7" i="49"/>
  <c r="D7" i="49"/>
  <c r="E7" i="49" s="1"/>
  <c r="F7" i="49" s="1"/>
  <c r="G7" i="49"/>
  <c r="H7" i="49"/>
  <c r="I7" i="49" s="1"/>
  <c r="J7" i="49" s="1"/>
  <c r="K7" i="49" s="1"/>
  <c r="L7" i="49" s="1"/>
  <c r="M7" i="49" s="1"/>
  <c r="N7" i="49" s="1"/>
  <c r="O7" i="49" s="1"/>
  <c r="P7" i="49" s="1"/>
  <c r="Q7" i="49" s="1"/>
  <c r="R7" i="49" s="1"/>
  <c r="S7" i="49" s="1"/>
  <c r="T7" i="49" s="1"/>
  <c r="U7" i="49" s="1"/>
  <c r="V7" i="49" s="1"/>
  <c r="W7" i="49" s="1"/>
  <c r="X7" i="49" s="1"/>
  <c r="Y7" i="49" s="1"/>
  <c r="Z7" i="49" s="1"/>
  <c r="A8" i="49"/>
  <c r="B13" i="49"/>
  <c r="C13" i="49"/>
  <c r="D13" i="49"/>
  <c r="E13" i="49"/>
  <c r="F13" i="49"/>
  <c r="G13" i="49"/>
  <c r="H13" i="49"/>
  <c r="I13" i="49"/>
  <c r="J13" i="49"/>
  <c r="K13" i="49"/>
  <c r="L13" i="49"/>
  <c r="M13" i="49"/>
  <c r="N13" i="49"/>
  <c r="O13" i="49"/>
  <c r="P13" i="49"/>
  <c r="Q13" i="49"/>
  <c r="R13" i="49"/>
  <c r="S13" i="49"/>
  <c r="T13" i="49"/>
  <c r="U13" i="49"/>
  <c r="V13" i="49"/>
  <c r="W13" i="49"/>
  <c r="X13" i="49"/>
  <c r="Y13" i="49"/>
  <c r="Z13" i="49"/>
  <c r="B15" i="49"/>
  <c r="C15" i="49"/>
  <c r="D15" i="49"/>
  <c r="E15" i="49"/>
  <c r="F15" i="49"/>
  <c r="G15" i="49"/>
  <c r="H15" i="49"/>
  <c r="I15" i="49"/>
  <c r="J15" i="49"/>
  <c r="K15" i="49"/>
  <c r="L15" i="49"/>
  <c r="M15" i="49"/>
  <c r="N15" i="49"/>
  <c r="O15" i="49"/>
  <c r="P15" i="49"/>
  <c r="Q15" i="49"/>
  <c r="R15" i="49"/>
  <c r="S15" i="49"/>
  <c r="T15" i="49"/>
  <c r="U15" i="49"/>
  <c r="V15" i="49"/>
  <c r="W15" i="49"/>
  <c r="X15" i="49"/>
  <c r="Y15" i="49"/>
  <c r="Z15" i="49"/>
  <c r="AA15" i="49"/>
  <c r="B27" i="49"/>
  <c r="AA2" i="48"/>
  <c r="A6" i="48"/>
  <c r="B6" i="48"/>
  <c r="B7" i="48"/>
  <c r="B13" i="48"/>
  <c r="C13" i="48"/>
  <c r="D13" i="48"/>
  <c r="E13" i="48"/>
  <c r="F13" i="48"/>
  <c r="G13" i="48"/>
  <c r="H13" i="48"/>
  <c r="I13" i="48"/>
  <c r="J13" i="48"/>
  <c r="K13" i="48"/>
  <c r="L13" i="48"/>
  <c r="M13" i="48"/>
  <c r="N13" i="48"/>
  <c r="O13" i="48"/>
  <c r="P13" i="48"/>
  <c r="Q13" i="48"/>
  <c r="R13" i="48"/>
  <c r="S13" i="48"/>
  <c r="T13" i="48"/>
  <c r="U13" i="48"/>
  <c r="V13" i="48"/>
  <c r="W13" i="48"/>
  <c r="X13" i="48"/>
  <c r="Y13" i="48"/>
  <c r="Z13" i="48"/>
  <c r="B15" i="48"/>
  <c r="C15" i="48"/>
  <c r="D15" i="48"/>
  <c r="E15" i="48"/>
  <c r="F15" i="48"/>
  <c r="G15" i="48"/>
  <c r="H15" i="48"/>
  <c r="I15" i="48"/>
  <c r="J15" i="48"/>
  <c r="K15" i="48"/>
  <c r="L15" i="48"/>
  <c r="M15" i="48"/>
  <c r="N15" i="48"/>
  <c r="O15" i="48"/>
  <c r="P15" i="48"/>
  <c r="Q15" i="48"/>
  <c r="R15" i="48"/>
  <c r="S15" i="48"/>
  <c r="T15" i="48"/>
  <c r="U15" i="48"/>
  <c r="V15" i="48"/>
  <c r="W15" i="48"/>
  <c r="X15" i="48"/>
  <c r="Y15" i="48"/>
  <c r="Z15" i="48"/>
  <c r="A19" i="48"/>
  <c r="W22" i="48"/>
  <c r="B26" i="48"/>
  <c r="A30" i="48"/>
  <c r="C3" i="47"/>
  <c r="D3" i="47"/>
  <c r="E3" i="47"/>
  <c r="F3" i="47"/>
  <c r="G3" i="47"/>
  <c r="H3" i="47"/>
  <c r="I3" i="47"/>
  <c r="J3" i="47"/>
  <c r="K3" i="47"/>
  <c r="L3" i="47"/>
  <c r="M3" i="47"/>
  <c r="N3" i="47"/>
  <c r="O3" i="47"/>
  <c r="P3" i="47"/>
  <c r="Q3" i="47"/>
  <c r="R3" i="47"/>
  <c r="S3" i="47"/>
  <c r="T3" i="47"/>
  <c r="U3" i="47"/>
  <c r="V3" i="47"/>
  <c r="W3" i="47"/>
  <c r="X3" i="47"/>
  <c r="Y3" i="47"/>
  <c r="Z3" i="47"/>
  <c r="AA3" i="47"/>
  <c r="B7" i="47"/>
  <c r="B8" i="47"/>
  <c r="B10" i="47" s="1"/>
  <c r="AB8" i="47"/>
  <c r="B20" i="47"/>
  <c r="B21" i="47"/>
  <c r="B22" i="47"/>
  <c r="B23" i="47"/>
  <c r="B24" i="47"/>
  <c r="B25" i="47"/>
  <c r="B26" i="47"/>
  <c r="D5" i="46"/>
  <c r="E5" i="46"/>
  <c r="F5" i="46"/>
  <c r="G5" i="46"/>
  <c r="H5" i="46"/>
  <c r="I5" i="46"/>
  <c r="J5" i="46"/>
  <c r="K5" i="46"/>
  <c r="L5" i="46"/>
  <c r="M5" i="46"/>
  <c r="N5" i="46"/>
  <c r="O5" i="46"/>
  <c r="P5" i="46"/>
  <c r="Q5" i="46"/>
  <c r="R5" i="46"/>
  <c r="S5" i="46"/>
  <c r="T5" i="46"/>
  <c r="U5" i="46"/>
  <c r="V5" i="46"/>
  <c r="W5" i="46"/>
  <c r="X5" i="46"/>
  <c r="Y5" i="46"/>
  <c r="Z5" i="46"/>
  <c r="AA5" i="46"/>
  <c r="AB5" i="46"/>
  <c r="B7" i="46"/>
  <c r="D9" i="46"/>
  <c r="E9" i="46"/>
  <c r="D11" i="46"/>
  <c r="E11" i="46"/>
  <c r="F11" i="46"/>
  <c r="G11" i="46"/>
  <c r="H11" i="46"/>
  <c r="K11" i="46"/>
  <c r="N11" i="46"/>
  <c r="Q11" i="46"/>
  <c r="U11" i="46"/>
  <c r="X11" i="46"/>
  <c r="Y11" i="46"/>
  <c r="Z11" i="46"/>
  <c r="AA11" i="46"/>
  <c r="AB11" i="46"/>
  <c r="D12" i="46"/>
  <c r="E12" i="46"/>
  <c r="B13" i="46"/>
  <c r="D13" i="46"/>
  <c r="K13" i="46"/>
  <c r="Q13" i="46"/>
  <c r="R13" i="46"/>
  <c r="T13" i="46"/>
  <c r="AC14" i="46"/>
  <c r="C15" i="46"/>
  <c r="B16" i="46"/>
  <c r="C17" i="46"/>
  <c r="R17" i="46"/>
  <c r="R19" i="46" s="1"/>
  <c r="AC18" i="46"/>
  <c r="D19" i="46"/>
  <c r="E19" i="46"/>
  <c r="F19" i="46"/>
  <c r="G19" i="46"/>
  <c r="H19" i="46"/>
  <c r="I19" i="46"/>
  <c r="J19" i="46"/>
  <c r="K19" i="46"/>
  <c r="L19" i="46"/>
  <c r="M19" i="46"/>
  <c r="N19" i="46"/>
  <c r="O19" i="46"/>
  <c r="P19" i="46"/>
  <c r="Q19" i="46"/>
  <c r="S19" i="46"/>
  <c r="T19" i="46"/>
  <c r="U19" i="46"/>
  <c r="V19" i="46"/>
  <c r="W19" i="46"/>
  <c r="X19" i="46"/>
  <c r="Y19" i="46"/>
  <c r="Z19" i="46"/>
  <c r="AA19" i="46"/>
  <c r="AB19" i="46"/>
  <c r="C21" i="46"/>
  <c r="AC21" i="46" s="1"/>
  <c r="AC22" i="46"/>
  <c r="D23" i="46"/>
  <c r="C24" i="46"/>
  <c r="AC24" i="46"/>
  <c r="D25" i="46"/>
  <c r="E25" i="46"/>
  <c r="F25" i="46"/>
  <c r="G25" i="46"/>
  <c r="H25" i="46"/>
  <c r="I25" i="46"/>
  <c r="J25" i="46"/>
  <c r="K25" i="46"/>
  <c r="L25" i="46"/>
  <c r="M25" i="46"/>
  <c r="N25" i="46"/>
  <c r="O25" i="46"/>
  <c r="P25" i="46"/>
  <c r="Q25" i="46"/>
  <c r="R25" i="46"/>
  <c r="F26" i="46"/>
  <c r="J26" i="46"/>
  <c r="K26" i="46"/>
  <c r="P26" i="46"/>
  <c r="Q26" i="46"/>
  <c r="R26" i="46"/>
  <c r="T26" i="46"/>
  <c r="U26" i="46"/>
  <c r="V26" i="46"/>
  <c r="B28" i="46"/>
  <c r="C28" i="46"/>
  <c r="B30" i="46"/>
  <c r="B37" i="46"/>
  <c r="B38" i="46"/>
  <c r="B39" i="46"/>
  <c r="E40" i="46"/>
  <c r="C44" i="46"/>
  <c r="C45" i="46"/>
  <c r="C46" i="46"/>
  <c r="C47" i="46"/>
  <c r="B50" i="46"/>
  <c r="C50" i="46"/>
  <c r="B51" i="46"/>
  <c r="C51" i="46"/>
  <c r="C52" i="46"/>
  <c r="C2" i="45"/>
  <c r="F2" i="45"/>
  <c r="C5" i="45"/>
  <c r="C10" i="45"/>
  <c r="D10" i="45"/>
  <c r="F10" i="45" s="1"/>
  <c r="AE10" i="45"/>
  <c r="C11" i="45"/>
  <c r="D12" i="45"/>
  <c r="F12" i="45" s="1"/>
  <c r="G12" i="45" s="1"/>
  <c r="H12" i="45" s="1"/>
  <c r="I12" i="45" s="1"/>
  <c r="J12" i="45" s="1"/>
  <c r="K12" i="45" s="1"/>
  <c r="L12" i="45" s="1"/>
  <c r="M12" i="45" s="1"/>
  <c r="N12" i="45" s="1"/>
  <c r="O12" i="45" s="1"/>
  <c r="P12" i="45" s="1"/>
  <c r="Q12" i="45" s="1"/>
  <c r="R12" i="45" s="1"/>
  <c r="S12" i="45" s="1"/>
  <c r="T12" i="45" s="1"/>
  <c r="U12" i="45" s="1"/>
  <c r="V12" i="45" s="1"/>
  <c r="W12" i="45" s="1"/>
  <c r="X12" i="45" s="1"/>
  <c r="Y12" i="45" s="1"/>
  <c r="Z12" i="45" s="1"/>
  <c r="AA12" i="45" s="1"/>
  <c r="AB12" i="45" s="1"/>
  <c r="AC12" i="45" s="1"/>
  <c r="AD12" i="45" s="1"/>
  <c r="E13" i="45"/>
  <c r="D14" i="45"/>
  <c r="F14" i="45"/>
  <c r="G14" i="45"/>
  <c r="H14" i="45"/>
  <c r="I14" i="45"/>
  <c r="J14" i="45"/>
  <c r="K14" i="45"/>
  <c r="I11" i="46" s="1"/>
  <c r="L14" i="45"/>
  <c r="J11" i="46" s="1"/>
  <c r="M14" i="45"/>
  <c r="N14" i="45"/>
  <c r="L11" i="46" s="1"/>
  <c r="O14" i="45"/>
  <c r="P14" i="45"/>
  <c r="Q14" i="45"/>
  <c r="O11" i="46" s="1"/>
  <c r="R14" i="45"/>
  <c r="P11" i="46" s="1"/>
  <c r="S14" i="45"/>
  <c r="S63" i="45" s="1"/>
  <c r="T14" i="45"/>
  <c r="R11" i="46" s="1"/>
  <c r="U14" i="45"/>
  <c r="S11" i="46" s="1"/>
  <c r="V14" i="45"/>
  <c r="T11" i="46" s="1"/>
  <c r="W14" i="45"/>
  <c r="X14" i="45"/>
  <c r="V11" i="46" s="1"/>
  <c r="Y14" i="45"/>
  <c r="W11" i="46" s="1"/>
  <c r="Z14" i="45"/>
  <c r="AA14" i="45"/>
  <c r="AB14" i="45"/>
  <c r="AB63" i="45" s="1"/>
  <c r="AC14" i="45"/>
  <c r="AD14" i="45"/>
  <c r="E15" i="45"/>
  <c r="D17" i="45"/>
  <c r="F17" i="45"/>
  <c r="D18" i="45"/>
  <c r="D19" i="45" s="1"/>
  <c r="E19" i="45"/>
  <c r="E40" i="45" s="1"/>
  <c r="E42" i="45" s="1"/>
  <c r="E46" i="45" s="1"/>
  <c r="D20" i="45"/>
  <c r="D23" i="45" s="1"/>
  <c r="F20" i="45"/>
  <c r="G20" i="45" s="1"/>
  <c r="D21" i="45"/>
  <c r="F21" i="45"/>
  <c r="G21" i="45" s="1"/>
  <c r="H21" i="45" s="1"/>
  <c r="I21" i="45" s="1"/>
  <c r="J21" i="45" s="1"/>
  <c r="K21" i="45" s="1"/>
  <c r="L21" i="45" s="1"/>
  <c r="M21" i="45" s="1"/>
  <c r="N21" i="45" s="1"/>
  <c r="O21" i="45" s="1"/>
  <c r="P21" i="45" s="1"/>
  <c r="Q21" i="45" s="1"/>
  <c r="R21" i="45" s="1"/>
  <c r="S21" i="45" s="1"/>
  <c r="T21" i="45" s="1"/>
  <c r="U21" i="45" s="1"/>
  <c r="V21" i="45" s="1"/>
  <c r="W21" i="45" s="1"/>
  <c r="X21" i="45" s="1"/>
  <c r="Y21" i="45" s="1"/>
  <c r="Z21" i="45" s="1"/>
  <c r="AA21" i="45" s="1"/>
  <c r="AB21" i="45" s="1"/>
  <c r="AC21" i="45" s="1"/>
  <c r="AD21" i="45" s="1"/>
  <c r="D22" i="45"/>
  <c r="F22" i="45"/>
  <c r="G22" i="45"/>
  <c r="H22" i="45"/>
  <c r="I22" i="45"/>
  <c r="J22" i="45" s="1"/>
  <c r="K22" i="45" s="1"/>
  <c r="L22" i="45"/>
  <c r="M22" i="45" s="1"/>
  <c r="N22" i="45" s="1"/>
  <c r="O22" i="45" s="1"/>
  <c r="P22" i="45" s="1"/>
  <c r="Q22" i="45" s="1"/>
  <c r="R22" i="45" s="1"/>
  <c r="S22" i="45" s="1"/>
  <c r="T22" i="45" s="1"/>
  <c r="U22" i="45" s="1"/>
  <c r="V22" i="45" s="1"/>
  <c r="W22" i="45" s="1"/>
  <c r="X22" i="45" s="1"/>
  <c r="Y22" i="45" s="1"/>
  <c r="Z22" i="45" s="1"/>
  <c r="AA22" i="45" s="1"/>
  <c r="AB22" i="45" s="1"/>
  <c r="AC22" i="45" s="1"/>
  <c r="AD22" i="45" s="1"/>
  <c r="E23" i="45"/>
  <c r="C24" i="45"/>
  <c r="D24" i="45"/>
  <c r="F24" i="45" s="1"/>
  <c r="G24" i="45" s="1"/>
  <c r="H24" i="45"/>
  <c r="I24" i="45"/>
  <c r="D25" i="45"/>
  <c r="F25" i="45"/>
  <c r="G25" i="45"/>
  <c r="H25" i="45"/>
  <c r="I25" i="45" s="1"/>
  <c r="J25" i="45" s="1"/>
  <c r="K25" i="45"/>
  <c r="L25" i="45"/>
  <c r="M25" i="45"/>
  <c r="N25" i="45" s="1"/>
  <c r="O25" i="45" s="1"/>
  <c r="P25" i="45" s="1"/>
  <c r="Q25" i="45" s="1"/>
  <c r="R25" i="45" s="1"/>
  <c r="S25" i="45" s="1"/>
  <c r="T25" i="45" s="1"/>
  <c r="U25" i="45" s="1"/>
  <c r="V25" i="45" s="1"/>
  <c r="W25" i="45" s="1"/>
  <c r="X25" i="45" s="1"/>
  <c r="Y25" i="45" s="1"/>
  <c r="Z25" i="45" s="1"/>
  <c r="AA25" i="45" s="1"/>
  <c r="AB25" i="45" s="1"/>
  <c r="AC25" i="45" s="1"/>
  <c r="AD25" i="45" s="1"/>
  <c r="D26" i="45"/>
  <c r="F26" i="45" s="1"/>
  <c r="G26" i="45" s="1"/>
  <c r="H26" i="45" s="1"/>
  <c r="I26" i="45"/>
  <c r="J26" i="45" s="1"/>
  <c r="K26" i="45" s="1"/>
  <c r="L26" i="45" s="1"/>
  <c r="M26" i="45" s="1"/>
  <c r="N26" i="45" s="1"/>
  <c r="O26" i="45" s="1"/>
  <c r="P26" i="45" s="1"/>
  <c r="Q26" i="45" s="1"/>
  <c r="R26" i="45" s="1"/>
  <c r="S26" i="45" s="1"/>
  <c r="T26" i="45" s="1"/>
  <c r="U26" i="45" s="1"/>
  <c r="V26" i="45" s="1"/>
  <c r="W26" i="45" s="1"/>
  <c r="X26" i="45" s="1"/>
  <c r="Y26" i="45" s="1"/>
  <c r="Z26" i="45" s="1"/>
  <c r="AA26" i="45" s="1"/>
  <c r="AB26" i="45" s="1"/>
  <c r="AC26" i="45" s="1"/>
  <c r="AD26" i="45" s="1"/>
  <c r="C27" i="45"/>
  <c r="D27" i="45"/>
  <c r="F27" i="45" s="1"/>
  <c r="G27" i="45" s="1"/>
  <c r="H27" i="45" s="1"/>
  <c r="I27" i="45"/>
  <c r="J27" i="45"/>
  <c r="K27" i="45" s="1"/>
  <c r="L27" i="45"/>
  <c r="M27" i="45" s="1"/>
  <c r="N27" i="45" s="1"/>
  <c r="O27" i="45" s="1"/>
  <c r="P27" i="45" s="1"/>
  <c r="Q27" i="45" s="1"/>
  <c r="R27" i="45" s="1"/>
  <c r="S27" i="45" s="1"/>
  <c r="T27" i="45" s="1"/>
  <c r="U27" i="45" s="1"/>
  <c r="V27" i="45" s="1"/>
  <c r="W27" i="45" s="1"/>
  <c r="X27" i="45" s="1"/>
  <c r="Y27" i="45" s="1"/>
  <c r="Z27" i="45" s="1"/>
  <c r="AA27" i="45" s="1"/>
  <c r="AB27" i="45" s="1"/>
  <c r="AC27" i="45" s="1"/>
  <c r="AD27" i="45" s="1"/>
  <c r="D28" i="45"/>
  <c r="F28" i="45" s="1"/>
  <c r="D29" i="45"/>
  <c r="F29" i="45"/>
  <c r="G29" i="45"/>
  <c r="D30" i="45"/>
  <c r="F30" i="45" s="1"/>
  <c r="G30" i="45"/>
  <c r="H30" i="45"/>
  <c r="I30" i="45"/>
  <c r="J30" i="45" s="1"/>
  <c r="K30" i="45" s="1"/>
  <c r="L30" i="45" s="1"/>
  <c r="M30" i="45" s="1"/>
  <c r="N30" i="45" s="1"/>
  <c r="O30" i="45" s="1"/>
  <c r="P30" i="45" s="1"/>
  <c r="Q30" i="45" s="1"/>
  <c r="R30" i="45" s="1"/>
  <c r="S30" i="45" s="1"/>
  <c r="T30" i="45" s="1"/>
  <c r="U30" i="45" s="1"/>
  <c r="V30" i="45" s="1"/>
  <c r="W30" i="45" s="1"/>
  <c r="X30" i="45" s="1"/>
  <c r="Y30" i="45" s="1"/>
  <c r="Z30" i="45" s="1"/>
  <c r="AA30" i="45" s="1"/>
  <c r="AB30" i="45" s="1"/>
  <c r="AC30" i="45" s="1"/>
  <c r="AD30" i="45" s="1"/>
  <c r="D31" i="45"/>
  <c r="F31" i="45"/>
  <c r="G31" i="45" s="1"/>
  <c r="H31" i="45" s="1"/>
  <c r="C33" i="45"/>
  <c r="E33" i="45"/>
  <c r="AE34" i="45"/>
  <c r="D35" i="45"/>
  <c r="E35" i="45"/>
  <c r="F35" i="45"/>
  <c r="AE35" i="45" s="1"/>
  <c r="G35" i="45"/>
  <c r="H35" i="45"/>
  <c r="I35" i="45"/>
  <c r="J35" i="45"/>
  <c r="K35" i="45"/>
  <c r="L35" i="45"/>
  <c r="M35" i="45"/>
  <c r="N35" i="45"/>
  <c r="O35" i="45"/>
  <c r="P35" i="45"/>
  <c r="Q35" i="45"/>
  <c r="R35" i="45"/>
  <c r="S35" i="45"/>
  <c r="T35" i="45"/>
  <c r="U35" i="45"/>
  <c r="V35" i="45"/>
  <c r="W35" i="45"/>
  <c r="X35" i="45"/>
  <c r="Y35" i="45"/>
  <c r="Z35" i="45"/>
  <c r="AA35" i="45"/>
  <c r="AB35" i="45"/>
  <c r="AC35" i="45"/>
  <c r="AD35" i="45"/>
  <c r="AE36" i="45"/>
  <c r="D37" i="45"/>
  <c r="E37" i="45"/>
  <c r="F37" i="45"/>
  <c r="G37" i="45"/>
  <c r="H37" i="45"/>
  <c r="I37" i="45"/>
  <c r="J37" i="45"/>
  <c r="K37" i="45"/>
  <c r="L37" i="45"/>
  <c r="M37" i="45"/>
  <c r="N37" i="45"/>
  <c r="O37" i="45"/>
  <c r="P37" i="45"/>
  <c r="Q37" i="45"/>
  <c r="R37" i="45"/>
  <c r="S37" i="45"/>
  <c r="T37" i="45"/>
  <c r="U37" i="45"/>
  <c r="V37" i="45"/>
  <c r="W37" i="45"/>
  <c r="X37" i="45"/>
  <c r="Y37" i="45"/>
  <c r="Z37" i="45"/>
  <c r="AA37" i="45"/>
  <c r="AB37" i="45"/>
  <c r="AC37" i="45"/>
  <c r="AD37" i="45"/>
  <c r="C40" i="45"/>
  <c r="AE41" i="45"/>
  <c r="C42" i="45"/>
  <c r="AE43" i="45"/>
  <c r="D44" i="45"/>
  <c r="F44" i="45" s="1"/>
  <c r="G44" i="45"/>
  <c r="H44" i="45"/>
  <c r="AE45" i="45"/>
  <c r="C46" i="45"/>
  <c r="AE47" i="45"/>
  <c r="G48" i="45"/>
  <c r="H48" i="45"/>
  <c r="F49" i="45"/>
  <c r="D26" i="46" s="1"/>
  <c r="G49" i="45"/>
  <c r="H49" i="45"/>
  <c r="F13" i="46" s="1"/>
  <c r="I49" i="45"/>
  <c r="J49" i="45"/>
  <c r="K49" i="45"/>
  <c r="L49" i="45"/>
  <c r="J13" i="46" s="1"/>
  <c r="M49" i="45"/>
  <c r="N49" i="45"/>
  <c r="AE49" i="45" s="1"/>
  <c r="O49" i="45"/>
  <c r="P49" i="45"/>
  <c r="Q49" i="45"/>
  <c r="R49" i="45"/>
  <c r="P13" i="46" s="1"/>
  <c r="S49" i="45"/>
  <c r="T49" i="45"/>
  <c r="U49" i="45"/>
  <c r="V49" i="45"/>
  <c r="W49" i="45"/>
  <c r="U13" i="46" s="1"/>
  <c r="X49" i="45"/>
  <c r="V13" i="46" s="1"/>
  <c r="Y49" i="45"/>
  <c r="Z49" i="45"/>
  <c r="X26" i="46" s="1"/>
  <c r="AA49" i="45"/>
  <c r="AB49" i="45"/>
  <c r="Z13" i="46" s="1"/>
  <c r="AC49" i="45"/>
  <c r="AA26" i="46" s="1"/>
  <c r="AD49" i="45"/>
  <c r="AE50" i="45"/>
  <c r="AE52" i="45"/>
  <c r="AE54" i="45"/>
  <c r="AE55" i="45"/>
  <c r="AE56" i="45"/>
  <c r="F60" i="45"/>
  <c r="G60" i="45"/>
  <c r="H60" i="45"/>
  <c r="I60" i="45"/>
  <c r="J60" i="45"/>
  <c r="K60" i="45"/>
  <c r="L60" i="45"/>
  <c r="M60" i="45"/>
  <c r="N60" i="45"/>
  <c r="O60" i="45"/>
  <c r="P60" i="45"/>
  <c r="Q60" i="45"/>
  <c r="R60" i="45"/>
  <c r="S60" i="45"/>
  <c r="T60" i="45"/>
  <c r="U60" i="45"/>
  <c r="V60" i="45"/>
  <c r="W60" i="45"/>
  <c r="X60" i="45"/>
  <c r="Y60" i="45"/>
  <c r="Z60" i="45"/>
  <c r="AA60" i="45"/>
  <c r="AB60" i="45"/>
  <c r="AC60" i="45"/>
  <c r="AD60" i="45"/>
  <c r="F61" i="45"/>
  <c r="G61" i="45"/>
  <c r="H61" i="45"/>
  <c r="I61" i="45"/>
  <c r="J61" i="45"/>
  <c r="K61" i="45"/>
  <c r="L61" i="45"/>
  <c r="M61" i="45"/>
  <c r="N61" i="45"/>
  <c r="O61" i="45"/>
  <c r="P61" i="45"/>
  <c r="Q61" i="45"/>
  <c r="R61" i="45"/>
  <c r="S61" i="45"/>
  <c r="T61" i="45"/>
  <c r="U61" i="45"/>
  <c r="V61" i="45"/>
  <c r="W61" i="45"/>
  <c r="X61" i="45"/>
  <c r="Y61" i="45"/>
  <c r="Z61" i="45"/>
  <c r="AA61" i="45"/>
  <c r="AB61" i="45"/>
  <c r="AC61" i="45"/>
  <c r="AD61" i="45"/>
  <c r="F63" i="45"/>
  <c r="G63" i="45"/>
  <c r="H63" i="45"/>
  <c r="I63" i="45"/>
  <c r="J63" i="45"/>
  <c r="K63" i="45"/>
  <c r="L63" i="45"/>
  <c r="M63" i="45"/>
  <c r="N63" i="45"/>
  <c r="P63" i="45"/>
  <c r="Q63" i="45"/>
  <c r="R63" i="45"/>
  <c r="U63" i="45"/>
  <c r="V63" i="45"/>
  <c r="W63" i="45"/>
  <c r="X63" i="45"/>
  <c r="Y63" i="45"/>
  <c r="Z63" i="45"/>
  <c r="AA63" i="45"/>
  <c r="AC63" i="45"/>
  <c r="AD63" i="45"/>
  <c r="C65" i="45"/>
  <c r="F72" i="45"/>
  <c r="AE72" i="45" s="1"/>
  <c r="G72" i="45"/>
  <c r="H72" i="45"/>
  <c r="I72" i="45"/>
  <c r="J72" i="45"/>
  <c r="K72" i="45"/>
  <c r="L72" i="45"/>
  <c r="M72" i="45"/>
  <c r="N72" i="45"/>
  <c r="O72" i="45"/>
  <c r="P72" i="45"/>
  <c r="Q72" i="45"/>
  <c r="R72" i="45"/>
  <c r="S72" i="45"/>
  <c r="T72" i="45"/>
  <c r="U72" i="45"/>
  <c r="V72" i="45"/>
  <c r="W72" i="45"/>
  <c r="X72" i="45"/>
  <c r="Y72" i="45"/>
  <c r="Z72" i="45"/>
  <c r="AA72" i="45"/>
  <c r="AB72" i="45"/>
  <c r="AC72" i="45"/>
  <c r="AD72" i="45"/>
  <c r="F74" i="45"/>
  <c r="G74" i="45"/>
  <c r="H74" i="45"/>
  <c r="I74" i="45"/>
  <c r="J74" i="45"/>
  <c r="K74" i="45"/>
  <c r="L74" i="45"/>
  <c r="M74" i="45"/>
  <c r="N74" i="45"/>
  <c r="O74" i="45"/>
  <c r="P74" i="45"/>
  <c r="Q74" i="45"/>
  <c r="R74" i="45"/>
  <c r="S74" i="45"/>
  <c r="T74" i="45"/>
  <c r="U74" i="45"/>
  <c r="V74" i="45"/>
  <c r="W74" i="45"/>
  <c r="X74" i="45"/>
  <c r="Y74" i="45"/>
  <c r="Z74" i="45"/>
  <c r="AA74" i="45"/>
  <c r="AB74" i="45"/>
  <c r="AC74" i="45"/>
  <c r="AD74" i="45"/>
  <c r="AE74" i="45"/>
  <c r="F79" i="45"/>
  <c r="G79" i="45"/>
  <c r="H79" i="45"/>
  <c r="I79" i="45"/>
  <c r="J79" i="45"/>
  <c r="K79" i="45"/>
  <c r="L79" i="45"/>
  <c r="M79" i="45"/>
  <c r="N79" i="45"/>
  <c r="O79" i="45"/>
  <c r="P79" i="45"/>
  <c r="Q79" i="45"/>
  <c r="R79" i="45"/>
  <c r="S79" i="45"/>
  <c r="T79" i="45"/>
  <c r="U79" i="45"/>
  <c r="V79" i="45"/>
  <c r="W79" i="45"/>
  <c r="X79" i="45"/>
  <c r="Y79" i="45"/>
  <c r="Z79" i="45"/>
  <c r="AA79" i="45"/>
  <c r="AB79" i="45"/>
  <c r="AC79" i="45"/>
  <c r="AD79" i="45"/>
  <c r="C82" i="45"/>
  <c r="D93" i="45"/>
  <c r="D96" i="45"/>
  <c r="C97" i="45"/>
  <c r="B6" i="43"/>
  <c r="C6" i="43"/>
  <c r="D6" i="43"/>
  <c r="E6" i="43"/>
  <c r="F6" i="43"/>
  <c r="G6" i="43"/>
  <c r="H6" i="43"/>
  <c r="I6" i="43"/>
  <c r="J6" i="43"/>
  <c r="K6" i="43"/>
  <c r="L6" i="43"/>
  <c r="M6" i="43"/>
  <c r="N6" i="43"/>
  <c r="O6" i="43"/>
  <c r="P6" i="43"/>
  <c r="Q6" i="43"/>
  <c r="R6" i="43"/>
  <c r="S6" i="43"/>
  <c r="T6" i="43"/>
  <c r="U6" i="43"/>
  <c r="V6" i="43"/>
  <c r="W6" i="43"/>
  <c r="X6" i="43"/>
  <c r="Y6" i="43"/>
  <c r="Z6" i="43"/>
  <c r="B8" i="43"/>
  <c r="C8" i="43"/>
  <c r="D8" i="43"/>
  <c r="E8" i="43"/>
  <c r="F8" i="43"/>
  <c r="G8" i="43"/>
  <c r="H8" i="43"/>
  <c r="I8" i="43"/>
  <c r="J8" i="43"/>
  <c r="K8" i="43"/>
  <c r="L8" i="43"/>
  <c r="M8" i="43"/>
  <c r="N8" i="43"/>
  <c r="O8" i="43"/>
  <c r="P8" i="43"/>
  <c r="Q8" i="43"/>
  <c r="R8" i="43"/>
  <c r="S8" i="43"/>
  <c r="T8" i="43"/>
  <c r="U8" i="43"/>
  <c r="V8" i="43"/>
  <c r="W8" i="43"/>
  <c r="X8" i="43"/>
  <c r="Y8" i="43"/>
  <c r="Z8" i="43"/>
  <c r="B3" i="41"/>
  <c r="C3" i="41"/>
  <c r="D3" i="41"/>
  <c r="E3" i="41"/>
  <c r="F3" i="41"/>
  <c r="G3" i="41"/>
  <c r="H3" i="41"/>
  <c r="I3" i="41"/>
  <c r="J3" i="41"/>
  <c r="K3" i="41"/>
  <c r="L3" i="41"/>
  <c r="M3" i="41"/>
  <c r="N3" i="41"/>
  <c r="O3" i="41"/>
  <c r="P3" i="41"/>
  <c r="Q3" i="41"/>
  <c r="R3" i="41"/>
  <c r="S3" i="41"/>
  <c r="T3" i="41"/>
  <c r="U3" i="41"/>
  <c r="V3" i="41"/>
  <c r="W3" i="41"/>
  <c r="X3" i="41"/>
  <c r="Y3" i="41"/>
  <c r="Z3" i="41"/>
  <c r="B4" i="41"/>
  <c r="C4" i="41"/>
  <c r="D4" i="41"/>
  <c r="E4" i="41"/>
  <c r="F4" i="41"/>
  <c r="G4" i="41"/>
  <c r="H4" i="41"/>
  <c r="AA4" i="41" s="1"/>
  <c r="I4" i="41"/>
  <c r="J4" i="41"/>
  <c r="K4" i="41"/>
  <c r="L4" i="41"/>
  <c r="M4" i="41"/>
  <c r="N4" i="41"/>
  <c r="O4" i="41"/>
  <c r="P4" i="41"/>
  <c r="Q4" i="41"/>
  <c r="R4" i="41"/>
  <c r="S4" i="41"/>
  <c r="T4" i="41"/>
  <c r="U4" i="41"/>
  <c r="V4" i="41"/>
  <c r="W4" i="41"/>
  <c r="X4" i="41"/>
  <c r="Y4" i="41"/>
  <c r="Z4" i="41"/>
  <c r="B6" i="41"/>
  <c r="C6" i="41"/>
  <c r="D6" i="41"/>
  <c r="E6" i="41"/>
  <c r="F6" i="41"/>
  <c r="G6" i="41"/>
  <c r="H6" i="41"/>
  <c r="I6" i="41"/>
  <c r="J6" i="41"/>
  <c r="K6" i="41"/>
  <c r="L6" i="41"/>
  <c r="M6" i="41"/>
  <c r="N6" i="41"/>
  <c r="O6" i="41"/>
  <c r="P6" i="41"/>
  <c r="Q6" i="41"/>
  <c r="R6" i="41"/>
  <c r="S6" i="41"/>
  <c r="T6" i="41"/>
  <c r="U6" i="41"/>
  <c r="V6" i="41"/>
  <c r="W6" i="41"/>
  <c r="X6" i="41"/>
  <c r="Y6" i="41"/>
  <c r="Z6" i="41"/>
  <c r="B11" i="41"/>
  <c r="C11" i="41"/>
  <c r="D11" i="41"/>
  <c r="E11" i="41"/>
  <c r="F11" i="41"/>
  <c r="G11" i="41"/>
  <c r="H11" i="41"/>
  <c r="I11" i="41"/>
  <c r="J11" i="41"/>
  <c r="K11" i="41"/>
  <c r="L11" i="41"/>
  <c r="M11" i="41"/>
  <c r="N11" i="41"/>
  <c r="O11" i="41"/>
  <c r="P11" i="41"/>
  <c r="Q11" i="41"/>
  <c r="R11" i="41"/>
  <c r="S11" i="41"/>
  <c r="T11" i="41"/>
  <c r="U11" i="41"/>
  <c r="V11" i="41"/>
  <c r="W11" i="41"/>
  <c r="X11" i="41"/>
  <c r="Y11" i="41"/>
  <c r="Z11" i="41"/>
  <c r="B3" i="40"/>
  <c r="C3" i="40"/>
  <c r="D3" i="40"/>
  <c r="E3" i="40"/>
  <c r="F3" i="40"/>
  <c r="G3" i="40"/>
  <c r="H3" i="40"/>
  <c r="I3" i="40"/>
  <c r="J3" i="40"/>
  <c r="K3" i="40"/>
  <c r="L3" i="40"/>
  <c r="M3" i="40"/>
  <c r="N3" i="40"/>
  <c r="O3" i="40"/>
  <c r="P3" i="40"/>
  <c r="Q3" i="40"/>
  <c r="R3" i="40"/>
  <c r="S3" i="40"/>
  <c r="T3" i="40"/>
  <c r="U3" i="40"/>
  <c r="V3" i="40"/>
  <c r="W3" i="40"/>
  <c r="X3" i="40"/>
  <c r="Y3" i="40"/>
  <c r="Z3" i="40"/>
  <c r="B4" i="40"/>
  <c r="C4" i="40"/>
  <c r="D4" i="40"/>
  <c r="E4" i="40"/>
  <c r="F4" i="40"/>
  <c r="G4" i="40"/>
  <c r="H4" i="40"/>
  <c r="I4" i="40"/>
  <c r="J4" i="40"/>
  <c r="K4" i="40"/>
  <c r="L4" i="40"/>
  <c r="M4" i="40"/>
  <c r="N4" i="40"/>
  <c r="O4" i="40"/>
  <c r="P4" i="40"/>
  <c r="Q4" i="40"/>
  <c r="R4" i="40"/>
  <c r="S4" i="40"/>
  <c r="T4" i="40"/>
  <c r="U4" i="40"/>
  <c r="V4" i="40"/>
  <c r="W4" i="40"/>
  <c r="X4" i="40"/>
  <c r="Y4" i="40"/>
  <c r="Z4" i="40"/>
  <c r="AA4" i="40"/>
  <c r="B6" i="40"/>
  <c r="C6" i="40"/>
  <c r="D6" i="40"/>
  <c r="E6" i="40"/>
  <c r="F6" i="40"/>
  <c r="G6" i="40"/>
  <c r="H6" i="40"/>
  <c r="AA6" i="40" s="1"/>
  <c r="I6" i="40"/>
  <c r="J6" i="40"/>
  <c r="K6" i="40"/>
  <c r="L6" i="40"/>
  <c r="M6" i="40"/>
  <c r="N6" i="40"/>
  <c r="O6" i="40"/>
  <c r="P6" i="40"/>
  <c r="Q6" i="40"/>
  <c r="R6" i="40"/>
  <c r="S6" i="40"/>
  <c r="T6" i="40"/>
  <c r="U6" i="40"/>
  <c r="V6" i="40"/>
  <c r="W6" i="40"/>
  <c r="X6" i="40"/>
  <c r="Y6" i="40"/>
  <c r="Z6" i="40"/>
  <c r="B11" i="40"/>
  <c r="C11" i="40"/>
  <c r="D11" i="40"/>
  <c r="E11" i="40"/>
  <c r="F11" i="40"/>
  <c r="G11" i="40"/>
  <c r="H11" i="40"/>
  <c r="I11" i="40"/>
  <c r="J11" i="40"/>
  <c r="K11" i="40"/>
  <c r="L11" i="40"/>
  <c r="M11" i="40"/>
  <c r="N11" i="40"/>
  <c r="O11" i="40"/>
  <c r="P11" i="40"/>
  <c r="Q11" i="40"/>
  <c r="R11" i="40"/>
  <c r="S11" i="40"/>
  <c r="T11" i="40"/>
  <c r="U11" i="40"/>
  <c r="V11" i="40"/>
  <c r="W11" i="40"/>
  <c r="X11" i="40"/>
  <c r="Y11" i="40"/>
  <c r="Z11" i="40"/>
  <c r="F3" i="39"/>
  <c r="F6" i="39"/>
  <c r="B12" i="39"/>
  <c r="B13" i="39"/>
  <c r="B14" i="39"/>
  <c r="N31" i="41" s="1"/>
  <c r="B15" i="39"/>
  <c r="O31" i="41" s="1"/>
  <c r="B25" i="39"/>
  <c r="B6" i="37"/>
  <c r="C6" i="37"/>
  <c r="D6" i="37"/>
  <c r="E6" i="37"/>
  <c r="F6" i="37"/>
  <c r="G6" i="37"/>
  <c r="H6" i="37"/>
  <c r="I6" i="37"/>
  <c r="J6" i="37"/>
  <c r="K6" i="37"/>
  <c r="L6" i="37"/>
  <c r="M6" i="37"/>
  <c r="N6" i="37"/>
  <c r="O6" i="37"/>
  <c r="P6" i="37"/>
  <c r="Q6" i="37"/>
  <c r="R6" i="37"/>
  <c r="S6" i="37"/>
  <c r="T6" i="37"/>
  <c r="U6" i="37"/>
  <c r="V6" i="37"/>
  <c r="W6" i="37"/>
  <c r="X6" i="37"/>
  <c r="Y6" i="37"/>
  <c r="Z6" i="37"/>
  <c r="B8" i="37"/>
  <c r="C8" i="37"/>
  <c r="D8" i="37"/>
  <c r="E8" i="37"/>
  <c r="F8" i="37"/>
  <c r="G8" i="37"/>
  <c r="H8" i="37"/>
  <c r="I8" i="37"/>
  <c r="J8" i="37"/>
  <c r="K8" i="37"/>
  <c r="L8" i="37"/>
  <c r="M8" i="37"/>
  <c r="N8" i="37"/>
  <c r="O8" i="37"/>
  <c r="P8" i="37"/>
  <c r="Q8" i="37"/>
  <c r="R8" i="37"/>
  <c r="S8" i="37"/>
  <c r="T8" i="37"/>
  <c r="U8" i="37"/>
  <c r="V8" i="37"/>
  <c r="W8" i="37"/>
  <c r="X8" i="37"/>
  <c r="Y8" i="37"/>
  <c r="Z8" i="37"/>
  <c r="B14" i="37"/>
  <c r="C14" i="37"/>
  <c r="D14" i="37"/>
  <c r="E14" i="37"/>
  <c r="F14" i="37"/>
  <c r="G14" i="37"/>
  <c r="H14" i="37"/>
  <c r="I14" i="37"/>
  <c r="J14" i="37"/>
  <c r="K14" i="37"/>
  <c r="L14" i="37"/>
  <c r="M14" i="37"/>
  <c r="N14" i="37"/>
  <c r="O14" i="37"/>
  <c r="P14" i="37"/>
  <c r="Q14" i="37"/>
  <c r="R14" i="37"/>
  <c r="S14" i="37"/>
  <c r="T14" i="37"/>
  <c r="U14" i="37"/>
  <c r="V14" i="37"/>
  <c r="W14" i="37"/>
  <c r="X14" i="37"/>
  <c r="Y14" i="37"/>
  <c r="Z14" i="37"/>
  <c r="A10" i="36"/>
  <c r="B3" i="35"/>
  <c r="C3" i="35"/>
  <c r="D3" i="35"/>
  <c r="E3" i="35"/>
  <c r="F3" i="35"/>
  <c r="G3" i="35"/>
  <c r="H3" i="35"/>
  <c r="I3" i="35"/>
  <c r="J3" i="35"/>
  <c r="K3" i="35"/>
  <c r="L3" i="35"/>
  <c r="M3" i="35"/>
  <c r="N3" i="35"/>
  <c r="O3" i="35"/>
  <c r="P3" i="35"/>
  <c r="Q3" i="35"/>
  <c r="R3" i="35"/>
  <c r="S3" i="35"/>
  <c r="T3" i="35"/>
  <c r="U3" i="35"/>
  <c r="V3" i="35"/>
  <c r="W3" i="35"/>
  <c r="X3" i="35"/>
  <c r="Y3" i="35"/>
  <c r="Z3" i="35"/>
  <c r="B4" i="35"/>
  <c r="C4" i="35"/>
  <c r="D4" i="35"/>
  <c r="E4" i="35"/>
  <c r="F4" i="35"/>
  <c r="G4" i="35"/>
  <c r="H4" i="35"/>
  <c r="I4" i="35"/>
  <c r="J4" i="35"/>
  <c r="K4" i="35"/>
  <c r="L4" i="35"/>
  <c r="M4" i="35"/>
  <c r="N4" i="35"/>
  <c r="O4" i="35"/>
  <c r="P4" i="35"/>
  <c r="Q4" i="35"/>
  <c r="R4" i="35"/>
  <c r="S4" i="35"/>
  <c r="T4" i="35"/>
  <c r="U4" i="35"/>
  <c r="V4" i="35"/>
  <c r="W4" i="35"/>
  <c r="X4" i="35"/>
  <c r="Y4" i="35"/>
  <c r="Z4" i="35"/>
  <c r="B6" i="35"/>
  <c r="C6" i="35"/>
  <c r="D6" i="35"/>
  <c r="E6" i="35"/>
  <c r="F6" i="35"/>
  <c r="G6" i="35"/>
  <c r="H6" i="35"/>
  <c r="I6" i="35"/>
  <c r="J6" i="35"/>
  <c r="K6" i="35"/>
  <c r="L6" i="35"/>
  <c r="M6" i="35"/>
  <c r="N6" i="35"/>
  <c r="O6" i="35"/>
  <c r="P6" i="35"/>
  <c r="Q6" i="35"/>
  <c r="R6" i="35"/>
  <c r="S6" i="35"/>
  <c r="T6" i="35"/>
  <c r="U6" i="35"/>
  <c r="V6" i="35"/>
  <c r="W6" i="35"/>
  <c r="X6" i="35"/>
  <c r="Y6" i="35"/>
  <c r="Z6" i="35"/>
  <c r="B11" i="35"/>
  <c r="C11" i="35"/>
  <c r="D11" i="35"/>
  <c r="E11" i="35"/>
  <c r="F11" i="35"/>
  <c r="G11" i="35"/>
  <c r="H11" i="35"/>
  <c r="I11" i="35"/>
  <c r="J11" i="35"/>
  <c r="K11" i="35"/>
  <c r="L11" i="35"/>
  <c r="M11" i="35"/>
  <c r="N11" i="35"/>
  <c r="O11" i="35"/>
  <c r="P11" i="35"/>
  <c r="Q11" i="35"/>
  <c r="R11" i="35"/>
  <c r="S11" i="35"/>
  <c r="T11" i="35"/>
  <c r="U11" i="35"/>
  <c r="V11" i="35"/>
  <c r="W11" i="35"/>
  <c r="X11" i="35"/>
  <c r="Y11" i="35"/>
  <c r="Z11" i="35"/>
  <c r="B3" i="34"/>
  <c r="C3" i="34"/>
  <c r="D3" i="34"/>
  <c r="E3" i="34"/>
  <c r="F3" i="34"/>
  <c r="G3" i="34"/>
  <c r="H3" i="34"/>
  <c r="I3" i="34"/>
  <c r="J3" i="34"/>
  <c r="K3" i="34"/>
  <c r="L3" i="34"/>
  <c r="M3" i="34"/>
  <c r="N3" i="34"/>
  <c r="O3" i="34"/>
  <c r="P3" i="34"/>
  <c r="Q3" i="34"/>
  <c r="R3" i="34"/>
  <c r="S3" i="34"/>
  <c r="T3" i="34"/>
  <c r="U3" i="34"/>
  <c r="V3" i="34"/>
  <c r="W3" i="34"/>
  <c r="X3" i="34"/>
  <c r="Y3" i="34"/>
  <c r="Z3" i="34"/>
  <c r="B4" i="34"/>
  <c r="C4" i="34"/>
  <c r="D4" i="34"/>
  <c r="E4" i="34"/>
  <c r="F4" i="34"/>
  <c r="G4" i="34"/>
  <c r="H4" i="34"/>
  <c r="I4" i="34"/>
  <c r="J4" i="34"/>
  <c r="K4" i="34"/>
  <c r="L4" i="34"/>
  <c r="M4" i="34"/>
  <c r="N4" i="34"/>
  <c r="O4" i="34"/>
  <c r="P4" i="34"/>
  <c r="Q4" i="34"/>
  <c r="R4" i="34"/>
  <c r="S4" i="34"/>
  <c r="T4" i="34"/>
  <c r="U4" i="34"/>
  <c r="V4" i="34"/>
  <c r="W4" i="34"/>
  <c r="X4" i="34"/>
  <c r="Y4" i="34"/>
  <c r="Z4" i="34"/>
  <c r="B6" i="34"/>
  <c r="C6" i="34"/>
  <c r="D6" i="34"/>
  <c r="E6" i="34"/>
  <c r="F6" i="34"/>
  <c r="G6" i="34"/>
  <c r="H6" i="34"/>
  <c r="I6" i="34"/>
  <c r="J6" i="34"/>
  <c r="K6" i="34"/>
  <c r="L6" i="34"/>
  <c r="M6" i="34"/>
  <c r="N6" i="34"/>
  <c r="O6" i="34"/>
  <c r="P6" i="34"/>
  <c r="Q6" i="34"/>
  <c r="R6" i="34"/>
  <c r="S6" i="34"/>
  <c r="T6" i="34"/>
  <c r="U6" i="34"/>
  <c r="V6" i="34"/>
  <c r="W6" i="34"/>
  <c r="X6" i="34"/>
  <c r="Y6" i="34"/>
  <c r="Z6" i="34"/>
  <c r="B11" i="34"/>
  <c r="C11" i="34"/>
  <c r="D11" i="34"/>
  <c r="E11" i="34"/>
  <c r="F11" i="34"/>
  <c r="G11" i="34"/>
  <c r="H11" i="34"/>
  <c r="I11" i="34"/>
  <c r="J11" i="34"/>
  <c r="K11" i="34"/>
  <c r="L11" i="34"/>
  <c r="M11" i="34"/>
  <c r="N11" i="34"/>
  <c r="O11" i="34"/>
  <c r="P11" i="34"/>
  <c r="Q11" i="34"/>
  <c r="R11" i="34"/>
  <c r="S11" i="34"/>
  <c r="T11" i="34"/>
  <c r="U11" i="34"/>
  <c r="V11" i="34"/>
  <c r="W11" i="34"/>
  <c r="X11" i="34"/>
  <c r="Y11" i="34"/>
  <c r="Z11" i="34"/>
  <c r="B33" i="34"/>
  <c r="C34" i="34"/>
  <c r="B46" i="34"/>
  <c r="C46" i="34"/>
  <c r="D46" i="34"/>
  <c r="E46" i="34"/>
  <c r="F46" i="34"/>
  <c r="G46" i="34"/>
  <c r="H46" i="34"/>
  <c r="I46" i="34"/>
  <c r="J46" i="34"/>
  <c r="K46" i="34"/>
  <c r="L46" i="34"/>
  <c r="M46" i="34"/>
  <c r="N46" i="34"/>
  <c r="O46" i="34"/>
  <c r="P46" i="34"/>
  <c r="Q46" i="34"/>
  <c r="R46" i="34"/>
  <c r="S46" i="34"/>
  <c r="T46" i="34"/>
  <c r="U46" i="34"/>
  <c r="V46" i="34"/>
  <c r="W46" i="34"/>
  <c r="X46" i="34"/>
  <c r="Y46" i="34"/>
  <c r="Z46" i="34"/>
  <c r="AA46" i="34"/>
  <c r="AB52" i="34"/>
  <c r="B3" i="33"/>
  <c r="C3" i="33"/>
  <c r="D3" i="33"/>
  <c r="E3" i="33"/>
  <c r="F3" i="33"/>
  <c r="G3" i="33"/>
  <c r="H3" i="33"/>
  <c r="I3" i="33"/>
  <c r="J3" i="33"/>
  <c r="K3" i="33"/>
  <c r="L3" i="33"/>
  <c r="M3" i="33"/>
  <c r="N3" i="33"/>
  <c r="O3" i="33"/>
  <c r="P3" i="33"/>
  <c r="Q3" i="33"/>
  <c r="R3" i="33"/>
  <c r="S3" i="33"/>
  <c r="T3" i="33"/>
  <c r="U3" i="33"/>
  <c r="V3" i="33"/>
  <c r="W3" i="33"/>
  <c r="X3" i="33"/>
  <c r="Y3" i="33"/>
  <c r="Z3" i="33"/>
  <c r="B4" i="33"/>
  <c r="C4" i="33"/>
  <c r="D4" i="33"/>
  <c r="E4" i="33"/>
  <c r="F4" i="33"/>
  <c r="G4" i="33"/>
  <c r="H4" i="33"/>
  <c r="I4" i="33"/>
  <c r="J4" i="33"/>
  <c r="K4" i="33"/>
  <c r="L4" i="33"/>
  <c r="M4" i="33"/>
  <c r="N4" i="33"/>
  <c r="O4" i="33"/>
  <c r="P4" i="33"/>
  <c r="Q4" i="33"/>
  <c r="R4" i="33"/>
  <c r="S4" i="33"/>
  <c r="T4" i="33"/>
  <c r="U4" i="33"/>
  <c r="V4" i="33"/>
  <c r="W4" i="33"/>
  <c r="X4" i="33"/>
  <c r="Y4" i="33"/>
  <c r="Z4" i="33"/>
  <c r="B6" i="33"/>
  <c r="C6" i="33"/>
  <c r="D6" i="33"/>
  <c r="E6" i="33"/>
  <c r="F6" i="33"/>
  <c r="G6" i="33"/>
  <c r="H6" i="33"/>
  <c r="I6" i="33"/>
  <c r="J6" i="33"/>
  <c r="K6" i="33"/>
  <c r="L6" i="33"/>
  <c r="M6" i="33"/>
  <c r="N6" i="33"/>
  <c r="O6" i="33"/>
  <c r="P6" i="33"/>
  <c r="Q6" i="33"/>
  <c r="R6" i="33"/>
  <c r="S6" i="33"/>
  <c r="T6" i="33"/>
  <c r="U6" i="33"/>
  <c r="V6" i="33"/>
  <c r="W6" i="33"/>
  <c r="X6" i="33"/>
  <c r="Y6" i="33"/>
  <c r="Z6" i="33"/>
  <c r="B11" i="33"/>
  <c r="C11" i="33"/>
  <c r="D11" i="33"/>
  <c r="E11" i="33"/>
  <c r="F11" i="33"/>
  <c r="G11" i="33"/>
  <c r="H11" i="33"/>
  <c r="I11" i="33"/>
  <c r="J11" i="33"/>
  <c r="K11" i="33"/>
  <c r="L11" i="33"/>
  <c r="M11" i="33"/>
  <c r="N11" i="33"/>
  <c r="O11" i="33"/>
  <c r="P11" i="33"/>
  <c r="Q11" i="33"/>
  <c r="R11" i="33"/>
  <c r="S11" i="33"/>
  <c r="T11" i="33"/>
  <c r="U11" i="33"/>
  <c r="V11" i="33"/>
  <c r="W11" i="33"/>
  <c r="X11" i="33"/>
  <c r="Y11" i="33"/>
  <c r="Z11" i="33"/>
  <c r="F3" i="32"/>
  <c r="B4" i="32"/>
  <c r="B6" i="32"/>
  <c r="F6" i="32"/>
  <c r="B8" i="32"/>
  <c r="B12" i="32"/>
  <c r="B22" i="30"/>
  <c r="B34" i="30"/>
  <c r="A1" i="29"/>
  <c r="B1" i="29"/>
  <c r="C1" i="29"/>
  <c r="D1" i="29"/>
  <c r="A2" i="29"/>
  <c r="B2" i="29"/>
  <c r="C2" i="29"/>
  <c r="A5" i="29"/>
  <c r="A6" i="29"/>
  <c r="A11" i="29"/>
  <c r="C11" i="29"/>
  <c r="A13" i="29"/>
  <c r="C13" i="29"/>
  <c r="D13" i="29" s="1"/>
  <c r="C10" i="30" s="1"/>
  <c r="D10" i="30" s="1"/>
  <c r="E10" i="30" s="1"/>
  <c r="A16" i="29"/>
  <c r="A18" i="29"/>
  <c r="A20" i="29"/>
  <c r="A2" i="28"/>
  <c r="B2" i="28"/>
  <c r="C2" i="28"/>
  <c r="D2" i="28"/>
  <c r="A3" i="28"/>
  <c r="A3" i="29" s="1"/>
  <c r="B3" i="28"/>
  <c r="B3" i="29" s="1"/>
  <c r="C3" i="28"/>
  <c r="C3" i="29" s="1"/>
  <c r="D3" i="28"/>
  <c r="B3" i="30" s="1"/>
  <c r="A4" i="28"/>
  <c r="A4" i="29" s="1"/>
  <c r="B4" i="28"/>
  <c r="H10" i="29" s="1"/>
  <c r="A5" i="28"/>
  <c r="A8" i="28"/>
  <c r="C8" i="28"/>
  <c r="A10" i="28"/>
  <c r="C10" i="28"/>
  <c r="D10" i="28"/>
  <c r="B10" i="30" s="1"/>
  <c r="B3" i="27"/>
  <c r="B4" i="27"/>
  <c r="B6" i="27"/>
  <c r="C5" i="28" s="1"/>
  <c r="D5" i="28" s="1"/>
  <c r="B5" i="30" s="1"/>
  <c r="B8" i="27"/>
  <c r="B9" i="27"/>
  <c r="E9" i="27"/>
  <c r="B11" i="27"/>
  <c r="B13" i="27"/>
  <c r="B14" i="27"/>
  <c r="B15" i="27"/>
  <c r="B6" i="26"/>
  <c r="C6" i="26" s="1"/>
  <c r="D6" i="26" s="1"/>
  <c r="E6" i="26" s="1"/>
  <c r="F6" i="26"/>
  <c r="G6" i="26"/>
  <c r="H6" i="26" s="1"/>
  <c r="B7" i="26"/>
  <c r="AA7" i="26" s="1"/>
  <c r="C7" i="26"/>
  <c r="D7" i="26"/>
  <c r="E7" i="26"/>
  <c r="F7" i="26"/>
  <c r="G7" i="26"/>
  <c r="H7" i="26" s="1"/>
  <c r="I7" i="26" s="1"/>
  <c r="J7" i="26" s="1"/>
  <c r="K7" i="26" s="1"/>
  <c r="L7" i="26" s="1"/>
  <c r="M7" i="26" s="1"/>
  <c r="N7" i="26" s="1"/>
  <c r="O7" i="26" s="1"/>
  <c r="P7" i="26" s="1"/>
  <c r="Q7" i="26" s="1"/>
  <c r="R7" i="26" s="1"/>
  <c r="S7" i="26" s="1"/>
  <c r="T7" i="26" s="1"/>
  <c r="U7" i="26" s="1"/>
  <c r="V7" i="26" s="1"/>
  <c r="W7" i="26" s="1"/>
  <c r="X7" i="26" s="1"/>
  <c r="Y7" i="26" s="1"/>
  <c r="Z7" i="26" s="1"/>
  <c r="A13" i="26"/>
  <c r="B13" i="26"/>
  <c r="C13" i="26"/>
  <c r="F13" i="26"/>
  <c r="G13" i="26"/>
  <c r="H13" i="26"/>
  <c r="I13" i="26"/>
  <c r="J13" i="26"/>
  <c r="K13" i="26"/>
  <c r="L13" i="26"/>
  <c r="M13" i="26"/>
  <c r="N13" i="26"/>
  <c r="V13" i="26"/>
  <c r="W13" i="26"/>
  <c r="Z13" i="26"/>
  <c r="A14" i="26"/>
  <c r="I15" i="26"/>
  <c r="J15" i="26"/>
  <c r="M15" i="26"/>
  <c r="N15" i="26"/>
  <c r="O15" i="26"/>
  <c r="P15" i="26"/>
  <c r="Q15" i="26"/>
  <c r="R15" i="26"/>
  <c r="S15" i="26"/>
  <c r="T15" i="26"/>
  <c r="U15" i="26"/>
  <c r="B26" i="26"/>
  <c r="B32" i="26"/>
  <c r="B6" i="25"/>
  <c r="C6" i="25"/>
  <c r="D6" i="25" s="1"/>
  <c r="E6" i="25" s="1"/>
  <c r="B7" i="25"/>
  <c r="A13" i="25"/>
  <c r="B13" i="25"/>
  <c r="C13" i="25"/>
  <c r="D13" i="25"/>
  <c r="E13" i="25"/>
  <c r="F13" i="25"/>
  <c r="G13" i="25"/>
  <c r="H13" i="25"/>
  <c r="I13" i="25"/>
  <c r="J13" i="25"/>
  <c r="K13" i="25"/>
  <c r="L13" i="25"/>
  <c r="M13" i="25"/>
  <c r="N13" i="25"/>
  <c r="O13" i="25"/>
  <c r="P13" i="25"/>
  <c r="Q13" i="25"/>
  <c r="R13" i="25"/>
  <c r="S13" i="25"/>
  <c r="T13" i="25"/>
  <c r="U13" i="25"/>
  <c r="V13" i="25"/>
  <c r="W13" i="25"/>
  <c r="X13" i="25"/>
  <c r="Y13" i="25"/>
  <c r="Z13" i="25"/>
  <c r="A14" i="25"/>
  <c r="B15" i="25"/>
  <c r="C15" i="25"/>
  <c r="D15" i="25"/>
  <c r="E15" i="25"/>
  <c r="F15" i="25"/>
  <c r="G15" i="25"/>
  <c r="H15" i="25"/>
  <c r="I15" i="25"/>
  <c r="J15" i="25"/>
  <c r="K15" i="25"/>
  <c r="L15" i="25"/>
  <c r="M15" i="25"/>
  <c r="N15" i="25"/>
  <c r="O15" i="25"/>
  <c r="P15" i="25"/>
  <c r="Q15" i="25"/>
  <c r="R15" i="25"/>
  <c r="S15" i="25"/>
  <c r="T15" i="25"/>
  <c r="U15" i="25"/>
  <c r="V15" i="25"/>
  <c r="W15" i="25"/>
  <c r="X15" i="25"/>
  <c r="Y15" i="25"/>
  <c r="Z15" i="25"/>
  <c r="B26" i="25"/>
  <c r="B32" i="25"/>
  <c r="B2" i="24"/>
  <c r="B3" i="24"/>
  <c r="B4" i="24"/>
  <c r="B5" i="24"/>
  <c r="B8" i="24"/>
  <c r="D8" i="24"/>
  <c r="B9" i="24"/>
  <c r="H2" i="29" s="1"/>
  <c r="I2" i="29" s="1"/>
  <c r="D9" i="24"/>
  <c r="C14" i="24"/>
  <c r="D14" i="24" s="1"/>
  <c r="C15" i="24"/>
  <c r="D15" i="24"/>
  <c r="I52" i="13"/>
  <c r="C18" i="23"/>
  <c r="C12" i="23"/>
  <c r="C13" i="23" s="1"/>
  <c r="C21" i="23" s="1"/>
  <c r="C25" i="23" s="1"/>
  <c r="B12" i="23"/>
  <c r="B11" i="23"/>
  <c r="B13" i="23" s="1"/>
  <c r="B21" i="23" s="1"/>
  <c r="B25" i="23" s="1"/>
  <c r="C8" i="23"/>
  <c r="B6" i="23"/>
  <c r="B8" i="23" s="1"/>
  <c r="C3" i="21"/>
  <c r="D3" i="21"/>
  <c r="E3" i="21"/>
  <c r="F3" i="21"/>
  <c r="G3" i="21"/>
  <c r="H3" i="21"/>
  <c r="I3" i="21"/>
  <c r="J3" i="21"/>
  <c r="K3" i="21"/>
  <c r="L3" i="21"/>
  <c r="M3" i="21"/>
  <c r="N3" i="21"/>
  <c r="O3" i="21"/>
  <c r="P3" i="21"/>
  <c r="Q3" i="21"/>
  <c r="R3" i="21"/>
  <c r="S3" i="21"/>
  <c r="T3" i="21"/>
  <c r="U3" i="21"/>
  <c r="V3" i="21"/>
  <c r="W3" i="21"/>
  <c r="X3" i="21"/>
  <c r="Y3" i="21"/>
  <c r="Z3" i="21"/>
  <c r="AA3" i="21"/>
  <c r="B7" i="21"/>
  <c r="D5" i="20"/>
  <c r="E5" i="20"/>
  <c r="F5" i="20"/>
  <c r="G5" i="20"/>
  <c r="H5" i="20"/>
  <c r="I5" i="20"/>
  <c r="J5" i="20"/>
  <c r="K5" i="20"/>
  <c r="L5" i="20"/>
  <c r="M5" i="20"/>
  <c r="N5" i="20"/>
  <c r="O5" i="20"/>
  <c r="P5" i="20"/>
  <c r="Q5" i="20"/>
  <c r="R5" i="20"/>
  <c r="S5" i="20"/>
  <c r="T5" i="20"/>
  <c r="U5" i="20"/>
  <c r="V5" i="20"/>
  <c r="W5" i="20"/>
  <c r="X5" i="20"/>
  <c r="Y5" i="20"/>
  <c r="Z5" i="20"/>
  <c r="AA5" i="20"/>
  <c r="AB5" i="20"/>
  <c r="D12" i="20"/>
  <c r="E12" i="20"/>
  <c r="F12" i="20"/>
  <c r="G12" i="20"/>
  <c r="S13" i="20"/>
  <c r="AC14" i="20"/>
  <c r="C15" i="20"/>
  <c r="AC18" i="20"/>
  <c r="D19" i="20"/>
  <c r="E19" i="20"/>
  <c r="F19" i="20"/>
  <c r="G19" i="20"/>
  <c r="H19" i="20"/>
  <c r="I19" i="20"/>
  <c r="J19" i="20"/>
  <c r="K19" i="20"/>
  <c r="L19" i="20"/>
  <c r="M19" i="20"/>
  <c r="N19" i="20"/>
  <c r="O19" i="20"/>
  <c r="P19" i="20"/>
  <c r="Q19" i="20"/>
  <c r="S19" i="20"/>
  <c r="T19" i="20"/>
  <c r="U19" i="20"/>
  <c r="V19" i="20"/>
  <c r="W19" i="20"/>
  <c r="X19" i="20"/>
  <c r="Y19" i="20"/>
  <c r="Z19" i="20"/>
  <c r="AA19" i="20"/>
  <c r="AB19" i="20"/>
  <c r="AC22" i="20"/>
  <c r="T26" i="20"/>
  <c r="U26" i="20"/>
  <c r="W26" i="20"/>
  <c r="C52" i="20"/>
  <c r="C8" i="19"/>
  <c r="C9" i="19"/>
  <c r="B17" i="19"/>
  <c r="B25" i="19"/>
  <c r="C26" i="19"/>
  <c r="D8" i="18"/>
  <c r="E8" i="18"/>
  <c r="D9" i="18"/>
  <c r="E9" i="18"/>
  <c r="D10" i="18"/>
  <c r="F10" i="18" s="1"/>
  <c r="E10" i="18"/>
  <c r="D11" i="18"/>
  <c r="F11" i="18" s="1"/>
  <c r="E11" i="18"/>
  <c r="D12" i="18"/>
  <c r="F12" i="18" s="1"/>
  <c r="E12" i="18"/>
  <c r="D13" i="18"/>
  <c r="E13" i="18"/>
  <c r="D17" i="18"/>
  <c r="E18" i="18" s="1"/>
  <c r="E17" i="18"/>
  <c r="D18" i="18"/>
  <c r="D19" i="18"/>
  <c r="E19" i="18"/>
  <c r="D23" i="18"/>
  <c r="E31" i="18"/>
  <c r="F31" i="18"/>
  <c r="D33" i="18"/>
  <c r="E33" i="18"/>
  <c r="F33" i="18"/>
  <c r="D34" i="18"/>
  <c r="D32" i="18" s="1"/>
  <c r="E34" i="18"/>
  <c r="E32" i="18" s="1"/>
  <c r="F34" i="18"/>
  <c r="D36" i="18"/>
  <c r="E36" i="18"/>
  <c r="F36" i="18"/>
  <c r="D37" i="18"/>
  <c r="E37" i="18"/>
  <c r="F37" i="18"/>
  <c r="D38" i="18"/>
  <c r="E38" i="18"/>
  <c r="D39" i="18"/>
  <c r="E39" i="18"/>
  <c r="F40" i="18"/>
  <c r="D41" i="18"/>
  <c r="D42" i="18"/>
  <c r="F42" i="18" s="1"/>
  <c r="D29" i="17" s="1"/>
  <c r="F29" i="17" s="1"/>
  <c r="G29" i="17" s="1"/>
  <c r="H29" i="17" s="1"/>
  <c r="I29" i="17" s="1"/>
  <c r="J29" i="17" s="1"/>
  <c r="K29" i="17" s="1"/>
  <c r="L29" i="17" s="1"/>
  <c r="M29" i="17" s="1"/>
  <c r="N29" i="17" s="1"/>
  <c r="O29" i="17" s="1"/>
  <c r="P29" i="17" s="1"/>
  <c r="Q29" i="17" s="1"/>
  <c r="R29" i="17" s="1"/>
  <c r="S29" i="17" s="1"/>
  <c r="T29" i="17" s="1"/>
  <c r="U29" i="17" s="1"/>
  <c r="V29" i="17" s="1"/>
  <c r="W29" i="17" s="1"/>
  <c r="X29" i="17" s="1"/>
  <c r="Y29" i="17" s="1"/>
  <c r="Z29" i="17" s="1"/>
  <c r="AA29" i="17" s="1"/>
  <c r="AB29" i="17" s="1"/>
  <c r="AC29" i="17" s="1"/>
  <c r="AD29" i="17" s="1"/>
  <c r="E42" i="18"/>
  <c r="E43" i="18"/>
  <c r="D44" i="18"/>
  <c r="F44" i="18" s="1"/>
  <c r="F43" i="18" s="1"/>
  <c r="D30" i="17" s="1"/>
  <c r="F30" i="17" s="1"/>
  <c r="E44" i="18"/>
  <c r="D45" i="18"/>
  <c r="E45" i="18"/>
  <c r="F45" i="18"/>
  <c r="D46" i="18"/>
  <c r="E46" i="18"/>
  <c r="F46" i="18"/>
  <c r="D48" i="18"/>
  <c r="E48" i="18"/>
  <c r="F48" i="18" s="1"/>
  <c r="D49" i="18"/>
  <c r="E49" i="18"/>
  <c r="D50" i="18"/>
  <c r="E50" i="18"/>
  <c r="D51" i="18"/>
  <c r="E51" i="18"/>
  <c r="D52" i="18"/>
  <c r="F52" i="18" s="1"/>
  <c r="E52" i="18"/>
  <c r="J55" i="18"/>
  <c r="I56" i="18"/>
  <c r="J57" i="18"/>
  <c r="E63" i="18"/>
  <c r="G63" i="18"/>
  <c r="F64" i="18"/>
  <c r="G64" i="18"/>
  <c r="H64" i="18"/>
  <c r="F65" i="18"/>
  <c r="H65" i="18" s="1"/>
  <c r="G65" i="18"/>
  <c r="I65" i="18"/>
  <c r="J65" i="18"/>
  <c r="G66" i="18"/>
  <c r="I66" i="18"/>
  <c r="J66" i="18"/>
  <c r="G67" i="18"/>
  <c r="I67" i="18"/>
  <c r="J67" i="18"/>
  <c r="C70" i="18"/>
  <c r="D70" i="18"/>
  <c r="E70" i="18"/>
  <c r="E75" i="18"/>
  <c r="C10" i="17"/>
  <c r="C11" i="17"/>
  <c r="C12" i="17"/>
  <c r="C13" i="17"/>
  <c r="E13" i="17"/>
  <c r="E15" i="17" s="1"/>
  <c r="E19" i="17"/>
  <c r="E23" i="17"/>
  <c r="D24" i="17"/>
  <c r="D27" i="17"/>
  <c r="F27" i="17"/>
  <c r="E33" i="17"/>
  <c r="E40" i="17" s="1"/>
  <c r="AE34" i="17"/>
  <c r="D35" i="17"/>
  <c r="E35" i="17"/>
  <c r="F35" i="17"/>
  <c r="G35" i="17"/>
  <c r="H35" i="17"/>
  <c r="I35" i="17"/>
  <c r="J35" i="17"/>
  <c r="K35" i="17"/>
  <c r="L35" i="17"/>
  <c r="M35" i="17"/>
  <c r="N35" i="17"/>
  <c r="O35" i="17"/>
  <c r="P35" i="17"/>
  <c r="Q35" i="17"/>
  <c r="R35" i="17"/>
  <c r="S35" i="17"/>
  <c r="T35" i="17"/>
  <c r="U35" i="17"/>
  <c r="V35" i="17"/>
  <c r="W35" i="17"/>
  <c r="X35" i="17"/>
  <c r="Y35" i="17"/>
  <c r="Z35" i="17"/>
  <c r="AA35" i="17"/>
  <c r="AB35" i="17"/>
  <c r="AC35" i="17"/>
  <c r="AD35" i="17"/>
  <c r="AE35" i="17"/>
  <c r="AE36" i="17"/>
  <c r="D37" i="17"/>
  <c r="E37" i="17"/>
  <c r="F37" i="17"/>
  <c r="G37" i="17"/>
  <c r="H37" i="17"/>
  <c r="I37" i="17"/>
  <c r="J37" i="17"/>
  <c r="K37" i="17"/>
  <c r="L37" i="17"/>
  <c r="M37" i="17"/>
  <c r="N37" i="17"/>
  <c r="O37" i="17"/>
  <c r="P37" i="17"/>
  <c r="Q37" i="17"/>
  <c r="R37" i="17"/>
  <c r="S37" i="17"/>
  <c r="T37" i="17"/>
  <c r="U37" i="17"/>
  <c r="V37" i="17"/>
  <c r="W37" i="17"/>
  <c r="X37" i="17"/>
  <c r="Y37" i="17"/>
  <c r="Z37" i="17"/>
  <c r="AA37" i="17"/>
  <c r="AB37" i="17"/>
  <c r="AC37" i="17"/>
  <c r="AD37" i="17"/>
  <c r="AE41" i="17"/>
  <c r="E42" i="17"/>
  <c r="E46" i="17" s="1"/>
  <c r="AE43" i="17"/>
  <c r="AE45" i="17"/>
  <c r="AE47" i="17"/>
  <c r="G48" i="17"/>
  <c r="H48" i="17"/>
  <c r="I48" i="17" s="1"/>
  <c r="J48" i="17"/>
  <c r="H12" i="20" s="1"/>
  <c r="K48" i="17"/>
  <c r="U49" i="17"/>
  <c r="S26" i="20" s="1"/>
  <c r="V49" i="17"/>
  <c r="T13" i="20" s="1"/>
  <c r="W49" i="17"/>
  <c r="U13" i="20" s="1"/>
  <c r="X49" i="17"/>
  <c r="Y49" i="17"/>
  <c r="W13" i="20" s="1"/>
  <c r="Z49" i="17"/>
  <c r="AA49" i="17"/>
  <c r="AB49" i="17"/>
  <c r="AC49" i="17"/>
  <c r="AA13" i="20" s="1"/>
  <c r="AD49" i="17"/>
  <c r="AE50" i="17"/>
  <c r="AE52" i="17"/>
  <c r="AE54" i="17"/>
  <c r="AE55" i="17"/>
  <c r="AE56" i="17"/>
  <c r="F60" i="17"/>
  <c r="G60" i="17"/>
  <c r="H60" i="17"/>
  <c r="I60" i="17"/>
  <c r="J60" i="17"/>
  <c r="K60" i="17"/>
  <c r="L60" i="17"/>
  <c r="M60" i="17"/>
  <c r="N60" i="17"/>
  <c r="O60" i="17"/>
  <c r="P60" i="17"/>
  <c r="Q60" i="17"/>
  <c r="R60" i="17"/>
  <c r="S60" i="17"/>
  <c r="T60" i="17"/>
  <c r="U60" i="17"/>
  <c r="V60" i="17"/>
  <c r="W60" i="17"/>
  <c r="X60" i="17"/>
  <c r="Y60" i="17"/>
  <c r="Z60" i="17"/>
  <c r="AA60" i="17"/>
  <c r="AB60" i="17"/>
  <c r="AC60" i="17"/>
  <c r="AD60" i="17"/>
  <c r="AE60" i="17"/>
  <c r="F61" i="17"/>
  <c r="G61" i="17"/>
  <c r="H61" i="17"/>
  <c r="I61" i="17"/>
  <c r="J61" i="17"/>
  <c r="K61" i="17"/>
  <c r="L61" i="17"/>
  <c r="M61" i="17"/>
  <c r="N61" i="17"/>
  <c r="O61" i="17"/>
  <c r="P61" i="17"/>
  <c r="Q61" i="17"/>
  <c r="R61" i="17"/>
  <c r="S61" i="17"/>
  <c r="T61" i="17"/>
  <c r="U61" i="17"/>
  <c r="V61" i="17"/>
  <c r="W61" i="17"/>
  <c r="X61" i="17"/>
  <c r="Y61" i="17"/>
  <c r="Z61" i="17"/>
  <c r="AA61" i="17"/>
  <c r="AB61" i="17"/>
  <c r="AC61" i="17"/>
  <c r="AD61" i="17"/>
  <c r="AE61" i="17"/>
  <c r="C10" i="16"/>
  <c r="F5" i="15"/>
  <c r="F6" i="15"/>
  <c r="G9" i="14"/>
  <c r="H9" i="14"/>
  <c r="C16" i="14"/>
  <c r="C17" i="14"/>
  <c r="C11" i="13"/>
  <c r="F11" i="13"/>
  <c r="C12" i="13"/>
  <c r="C13" i="13"/>
  <c r="F13" i="13"/>
  <c r="C14" i="13"/>
  <c r="F14" i="13"/>
  <c r="C15" i="13"/>
  <c r="F15" i="13"/>
  <c r="C16" i="13"/>
  <c r="F16" i="13"/>
  <c r="C18" i="13"/>
  <c r="A20" i="13"/>
  <c r="C20" i="13"/>
  <c r="F21" i="13"/>
  <c r="F31" i="13" s="1"/>
  <c r="C7" i="15" s="1"/>
  <c r="C11" i="15" s="1"/>
  <c r="C23" i="13"/>
  <c r="C7" i="19" s="1"/>
  <c r="C24" i="13"/>
  <c r="C25" i="13"/>
  <c r="C30" i="13"/>
  <c r="F30" i="13"/>
  <c r="C31" i="13"/>
  <c r="C32" i="13"/>
  <c r="C49" i="13" s="1"/>
  <c r="F32" i="13"/>
  <c r="C4" i="15" s="1"/>
  <c r="A34" i="13"/>
  <c r="D34" i="13"/>
  <c r="F34" i="13"/>
  <c r="D35" i="13"/>
  <c r="C36" i="13"/>
  <c r="I63" i="18" s="1"/>
  <c r="J63" i="18" s="1"/>
  <c r="J39" i="13"/>
  <c r="J40" i="13" s="1"/>
  <c r="C40" i="13"/>
  <c r="F40" i="13"/>
  <c r="C34" i="19" s="1"/>
  <c r="C41" i="13"/>
  <c r="C42" i="13"/>
  <c r="F42" i="13"/>
  <c r="C36" i="19" s="1"/>
  <c r="I44" i="13"/>
  <c r="I45" i="13"/>
  <c r="I46" i="13"/>
  <c r="C47" i="13"/>
  <c r="F47" i="13"/>
  <c r="F48" i="13"/>
  <c r="F49" i="13"/>
  <c r="C50" i="13"/>
  <c r="F50" i="13"/>
  <c r="C53" i="13"/>
  <c r="D53" i="13"/>
  <c r="E53" i="13"/>
  <c r="F53" i="13"/>
  <c r="G53" i="13"/>
  <c r="C54" i="13"/>
  <c r="D54" i="13"/>
  <c r="E54" i="13"/>
  <c r="F54" i="13"/>
  <c r="C55" i="13"/>
  <c r="D55" i="13"/>
  <c r="E55" i="13"/>
  <c r="F55" i="13"/>
  <c r="G55" i="13"/>
  <c r="C56" i="13"/>
  <c r="D56" i="13"/>
  <c r="E56" i="13"/>
  <c r="G56" i="13" s="1"/>
  <c r="F56" i="13"/>
  <c r="C61" i="13"/>
  <c r="E61" i="13"/>
  <c r="G61" i="13"/>
  <c r="C62" i="13"/>
  <c r="D23" i="20" s="1"/>
  <c r="B63" i="13"/>
  <c r="C63" i="13"/>
  <c r="C88" i="13" s="1"/>
  <c r="E64" i="13"/>
  <c r="G64" i="13"/>
  <c r="E67" i="13"/>
  <c r="D26" i="18" s="1"/>
  <c r="G67" i="13"/>
  <c r="C70" i="13"/>
  <c r="E70" i="13"/>
  <c r="C29" i="13" s="1"/>
  <c r="C27" i="19" s="1"/>
  <c r="G70" i="13"/>
  <c r="C74" i="13" s="1"/>
  <c r="C71" i="13"/>
  <c r="G73" i="13"/>
  <c r="F55" i="18" s="1"/>
  <c r="C75" i="13"/>
  <c r="C77" i="13"/>
  <c r="F78" i="13"/>
  <c r="D31" i="18" s="1"/>
  <c r="F79" i="13"/>
  <c r="G79" i="13"/>
  <c r="F80" i="13" s="1"/>
  <c r="C17" i="13" s="1"/>
  <c r="C35" i="13" s="1" a="1"/>
  <c r="C35" i="13" s="1"/>
  <c r="C80" i="13"/>
  <c r="H83" i="13"/>
  <c r="J83" i="13"/>
  <c r="H86" i="13"/>
  <c r="J86" i="13"/>
  <c r="F91" i="13"/>
  <c r="I91" i="13"/>
  <c r="F92" i="13"/>
  <c r="I92" i="13"/>
  <c r="F93" i="13"/>
  <c r="C94" i="13"/>
  <c r="C96" i="13"/>
  <c r="I31" i="45" l="1"/>
  <c r="J31" i="45" s="1"/>
  <c r="K31" i="45" s="1"/>
  <c r="L31" i="45" s="1"/>
  <c r="M31" i="45" s="1"/>
  <c r="N31" i="45" s="1"/>
  <c r="O31" i="45" s="1"/>
  <c r="P31" i="45" s="1"/>
  <c r="Q31" i="45" s="1"/>
  <c r="R31" i="45" s="1"/>
  <c r="S31" i="45" s="1"/>
  <c r="T31" i="45" s="1"/>
  <c r="U31" i="45" s="1"/>
  <c r="V31" i="45" s="1"/>
  <c r="W31" i="45" s="1"/>
  <c r="X31" i="45" s="1"/>
  <c r="Y31" i="45" s="1"/>
  <c r="Z31" i="45" s="1"/>
  <c r="AA31" i="45" s="1"/>
  <c r="AB31" i="45" s="1"/>
  <c r="AC31" i="45" s="1"/>
  <c r="AD31" i="45" s="1"/>
  <c r="AE31" i="45"/>
  <c r="Y31" i="41"/>
  <c r="G17" i="45"/>
  <c r="F19" i="45"/>
  <c r="AA15" i="48"/>
  <c r="N13" i="46"/>
  <c r="N26" i="46"/>
  <c r="J24" i="45"/>
  <c r="M13" i="46"/>
  <c r="M26" i="46"/>
  <c r="C19" i="46"/>
  <c r="AC19" i="46" s="1"/>
  <c r="AC17" i="46"/>
  <c r="AC11" i="46"/>
  <c r="AA7" i="49"/>
  <c r="A1" i="51"/>
  <c r="A2" i="50"/>
  <c r="A31" i="49"/>
  <c r="A5" i="48"/>
  <c r="A27" i="48"/>
  <c r="B18" i="46"/>
  <c r="AA1" i="51"/>
  <c r="A38" i="50"/>
  <c r="A8" i="48"/>
  <c r="B29" i="46"/>
  <c r="B36" i="46"/>
  <c r="B45" i="46"/>
  <c r="C9" i="45"/>
  <c r="C12" i="45"/>
  <c r="A2" i="51"/>
  <c r="A6" i="50"/>
  <c r="A14" i="50"/>
  <c r="A21" i="50"/>
  <c r="A14" i="49"/>
  <c r="A33" i="49"/>
  <c r="A28" i="48"/>
  <c r="A3" i="51"/>
  <c r="A26" i="50"/>
  <c r="A18" i="49"/>
  <c r="B8" i="46"/>
  <c r="B46" i="46"/>
  <c r="A39" i="50"/>
  <c r="AA1" i="48"/>
  <c r="A15" i="48"/>
  <c r="A29" i="48"/>
  <c r="B11" i="46"/>
  <c r="E37" i="46"/>
  <c r="AA1" i="49"/>
  <c r="A15" i="49"/>
  <c r="D1" i="50"/>
  <c r="B24" i="50"/>
  <c r="A5" i="49"/>
  <c r="AC5" i="46"/>
  <c r="B47" i="46"/>
  <c r="C38" i="45"/>
  <c r="E1" i="50"/>
  <c r="A8" i="50"/>
  <c r="C24" i="50"/>
  <c r="A23" i="48"/>
  <c r="A19" i="50"/>
  <c r="E24" i="50"/>
  <c r="A22" i="49"/>
  <c r="A4" i="48"/>
  <c r="B17" i="46"/>
  <c r="B27" i="46"/>
  <c r="A41" i="50"/>
  <c r="A7" i="49"/>
  <c r="W23" i="48"/>
  <c r="B19" i="46"/>
  <c r="D4" i="45"/>
  <c r="C29" i="45"/>
  <c r="C32" i="45"/>
  <c r="C48" i="45"/>
  <c r="C66" i="45"/>
  <c r="A7" i="51"/>
  <c r="A5" i="50"/>
  <c r="A16" i="50"/>
  <c r="D24" i="50"/>
  <c r="A26" i="48"/>
  <c r="B2" i="46"/>
  <c r="B41" i="46"/>
  <c r="AE4" i="45"/>
  <c r="AE60" i="45" s="1"/>
  <c r="A18" i="51"/>
  <c r="A19" i="51"/>
  <c r="A3" i="49"/>
  <c r="A23" i="49"/>
  <c r="B5" i="46"/>
  <c r="B42" i="46"/>
  <c r="D5" i="45"/>
  <c r="I2" i="50"/>
  <c r="A10" i="50"/>
  <c r="A20" i="50"/>
  <c r="B6" i="46"/>
  <c r="B19" i="50"/>
  <c r="A18" i="48"/>
  <c r="B23" i="46"/>
  <c r="B43" i="46"/>
  <c r="C13" i="45"/>
  <c r="C86" i="45"/>
  <c r="C19" i="50"/>
  <c r="A1" i="50"/>
  <c r="A16" i="49"/>
  <c r="A14" i="48"/>
  <c r="B1" i="50"/>
  <c r="AA11" i="49"/>
  <c r="C1" i="50"/>
  <c r="AA2" i="49"/>
  <c r="AA12" i="49"/>
  <c r="B34" i="46"/>
  <c r="B40" i="46"/>
  <c r="AE5" i="45"/>
  <c r="AE61" i="45" s="1"/>
  <c r="C26" i="45"/>
  <c r="A30" i="49"/>
  <c r="B21" i="46"/>
  <c r="AE16" i="45"/>
  <c r="C62" i="45"/>
  <c r="A3" i="48"/>
  <c r="A33" i="48"/>
  <c r="B24" i="46"/>
  <c r="C44" i="45"/>
  <c r="C63" i="45"/>
  <c r="D82" i="45"/>
  <c r="B25" i="46"/>
  <c r="A14" i="51"/>
  <c r="D19" i="50"/>
  <c r="B36" i="50"/>
  <c r="A6" i="49"/>
  <c r="B44" i="46"/>
  <c r="C19" i="45"/>
  <c r="E82" i="45"/>
  <c r="A37" i="50"/>
  <c r="A9" i="51"/>
  <c r="E19" i="50"/>
  <c r="C36" i="50"/>
  <c r="B12" i="46"/>
  <c r="B33" i="46"/>
  <c r="C14" i="45"/>
  <c r="C57" i="45"/>
  <c r="C83" i="45"/>
  <c r="A4" i="51"/>
  <c r="A6" i="51"/>
  <c r="A22" i="48"/>
  <c r="C60" i="45"/>
  <c r="C64" i="45"/>
  <c r="D85" i="45"/>
  <c r="E96" i="45"/>
  <c r="B14" i="46"/>
  <c r="B32" i="46"/>
  <c r="C16" i="45"/>
  <c r="D86" i="45"/>
  <c r="B15" i="46"/>
  <c r="A4" i="49"/>
  <c r="A27" i="49"/>
  <c r="A7" i="48"/>
  <c r="AA11" i="48"/>
  <c r="A16" i="48"/>
  <c r="B52" i="46"/>
  <c r="C23" i="45"/>
  <c r="C30" i="45"/>
  <c r="AA12" i="48"/>
  <c r="A8" i="51"/>
  <c r="A12" i="51"/>
  <c r="A3" i="50"/>
  <c r="B20" i="46"/>
  <c r="E39" i="46"/>
  <c r="C51" i="45"/>
  <c r="A27" i="50"/>
  <c r="A13" i="49"/>
  <c r="F12" i="46"/>
  <c r="I48" i="45"/>
  <c r="AE30" i="45"/>
  <c r="C96" i="45"/>
  <c r="B10" i="46"/>
  <c r="W26" i="46"/>
  <c r="W13" i="46"/>
  <c r="C49" i="45"/>
  <c r="AE28" i="45"/>
  <c r="G28" i="45"/>
  <c r="H28" i="45" s="1"/>
  <c r="I28" i="45" s="1"/>
  <c r="J28" i="45" s="1"/>
  <c r="K28" i="45" s="1"/>
  <c r="L28" i="45" s="1"/>
  <c r="M28" i="45" s="1"/>
  <c r="N28" i="45" s="1"/>
  <c r="O28" i="45" s="1"/>
  <c r="P28" i="45" s="1"/>
  <c r="Q28" i="45" s="1"/>
  <c r="R28" i="45" s="1"/>
  <c r="S28" i="45" s="1"/>
  <c r="T28" i="45" s="1"/>
  <c r="U28" i="45" s="1"/>
  <c r="V28" i="45" s="1"/>
  <c r="W28" i="45" s="1"/>
  <c r="X28" i="45" s="1"/>
  <c r="Y28" i="45" s="1"/>
  <c r="Z28" i="45" s="1"/>
  <c r="AA28" i="45" s="1"/>
  <c r="AB28" i="45" s="1"/>
  <c r="AC28" i="45" s="1"/>
  <c r="AD28" i="45" s="1"/>
  <c r="AC4" i="46"/>
  <c r="A13" i="48"/>
  <c r="A34" i="50"/>
  <c r="AA13" i="48"/>
  <c r="H13" i="46"/>
  <c r="H26" i="46"/>
  <c r="G26" i="46"/>
  <c r="G13" i="46"/>
  <c r="C53" i="45"/>
  <c r="C31" i="45"/>
  <c r="C28" i="45"/>
  <c r="C25" i="45"/>
  <c r="AC23" i="46"/>
  <c r="AA13" i="46"/>
  <c r="H6" i="49"/>
  <c r="A33" i="50"/>
  <c r="L31" i="41"/>
  <c r="I13" i="46"/>
  <c r="I26" i="46"/>
  <c r="AE26" i="45"/>
  <c r="F9" i="46"/>
  <c r="I44" i="45"/>
  <c r="C15" i="45"/>
  <c r="C69" i="45"/>
  <c r="AE14" i="45"/>
  <c r="X13" i="46"/>
  <c r="A31" i="50"/>
  <c r="O13" i="46"/>
  <c r="O26" i="46"/>
  <c r="C6" i="48"/>
  <c r="D6" i="48" s="1"/>
  <c r="E6" i="48" s="1"/>
  <c r="F6" i="48" s="1"/>
  <c r="G6" i="48" s="1"/>
  <c r="H6" i="48" s="1"/>
  <c r="I6" i="48" s="1"/>
  <c r="J6" i="48" s="1"/>
  <c r="K6" i="48" s="1"/>
  <c r="AB13" i="46"/>
  <c r="AB26" i="46"/>
  <c r="F23" i="45"/>
  <c r="B26" i="46"/>
  <c r="B22" i="46"/>
  <c r="B32" i="48"/>
  <c r="T63" i="45"/>
  <c r="AE63" i="45" s="1"/>
  <c r="L13" i="46"/>
  <c r="L26" i="46"/>
  <c r="O63" i="45"/>
  <c r="M11" i="46"/>
  <c r="AE21" i="45"/>
  <c r="AE12" i="45"/>
  <c r="A29" i="49"/>
  <c r="A28" i="49"/>
  <c r="A12" i="50"/>
  <c r="S13" i="46"/>
  <c r="S26" i="46"/>
  <c r="C39" i="45"/>
  <c r="H29" i="45"/>
  <c r="I29" i="45" s="1"/>
  <c r="J29" i="45" s="1"/>
  <c r="K29" i="45" s="1"/>
  <c r="L29" i="45" s="1"/>
  <c r="M29" i="45" s="1"/>
  <c r="N29" i="45" s="1"/>
  <c r="O29" i="45" s="1"/>
  <c r="P29" i="45" s="1"/>
  <c r="Q29" i="45" s="1"/>
  <c r="R29" i="45" s="1"/>
  <c r="S29" i="45" s="1"/>
  <c r="T29" i="45" s="1"/>
  <c r="U29" i="45" s="1"/>
  <c r="V29" i="45" s="1"/>
  <c r="W29" i="45" s="1"/>
  <c r="X29" i="45" s="1"/>
  <c r="Y29" i="45" s="1"/>
  <c r="Z29" i="45" s="1"/>
  <c r="AA29" i="45" s="1"/>
  <c r="AB29" i="45" s="1"/>
  <c r="AC29" i="45" s="1"/>
  <c r="AD29" i="45" s="1"/>
  <c r="B9" i="46"/>
  <c r="AA13" i="49"/>
  <c r="C7" i="48"/>
  <c r="D7" i="48" s="1"/>
  <c r="E7" i="48" s="1"/>
  <c r="F7" i="48" s="1"/>
  <c r="G7" i="48" s="1"/>
  <c r="H7" i="48" s="1"/>
  <c r="I7" i="48" s="1"/>
  <c r="J7" i="48" s="1"/>
  <c r="K7" i="48" s="1"/>
  <c r="L7" i="48" s="1"/>
  <c r="M7" i="48" s="1"/>
  <c r="N7" i="48" s="1"/>
  <c r="O7" i="48" s="1"/>
  <c r="P7" i="48" s="1"/>
  <c r="Q7" i="48" s="1"/>
  <c r="R7" i="48" s="1"/>
  <c r="S7" i="48" s="1"/>
  <c r="T7" i="48" s="1"/>
  <c r="U7" i="48" s="1"/>
  <c r="V7" i="48" s="1"/>
  <c r="W7" i="48" s="1"/>
  <c r="X7" i="48" s="1"/>
  <c r="Y7" i="48" s="1"/>
  <c r="Z7" i="48" s="1"/>
  <c r="AE79" i="45"/>
  <c r="C32" i="46"/>
  <c r="M31" i="41"/>
  <c r="Y13" i="46"/>
  <c r="Y26" i="46"/>
  <c r="E13" i="46"/>
  <c r="AC13" i="46" s="1"/>
  <c r="E26" i="46"/>
  <c r="AE27" i="45"/>
  <c r="AE37" i="45"/>
  <c r="F18" i="45"/>
  <c r="AA6" i="51"/>
  <c r="AA8" i="51"/>
  <c r="H20" i="45"/>
  <c r="G23" i="45"/>
  <c r="AE25" i="45"/>
  <c r="AE22" i="45"/>
  <c r="Z26" i="46"/>
  <c r="D5" i="50"/>
  <c r="E5" i="50" s="1"/>
  <c r="B12" i="47"/>
  <c r="AC25" i="46"/>
  <c r="AA6" i="41"/>
  <c r="B7" i="39"/>
  <c r="B16" i="39"/>
  <c r="B26" i="39"/>
  <c r="B18" i="39"/>
  <c r="B9" i="39"/>
  <c r="B8" i="39"/>
  <c r="B17" i="39"/>
  <c r="B19" i="39"/>
  <c r="B4" i="39"/>
  <c r="B20" i="39"/>
  <c r="B5" i="39"/>
  <c r="B22" i="39"/>
  <c r="B21" i="39"/>
  <c r="B6" i="39"/>
  <c r="B24" i="39"/>
  <c r="B11" i="39"/>
  <c r="B10" i="39"/>
  <c r="B23" i="39"/>
  <c r="AA3" i="41"/>
  <c r="B3" i="39"/>
  <c r="AA6" i="43"/>
  <c r="B2" i="39"/>
  <c r="AA11" i="40"/>
  <c r="AA11" i="41"/>
  <c r="AA3" i="40"/>
  <c r="AA8" i="43"/>
  <c r="L58" i="34"/>
  <c r="L51" i="34"/>
  <c r="L55" i="34" s="1"/>
  <c r="H51" i="34"/>
  <c r="H55" i="34" s="1"/>
  <c r="H58" i="34"/>
  <c r="AA11" i="33"/>
  <c r="F51" i="34"/>
  <c r="F55" i="34" s="1"/>
  <c r="F58" i="34"/>
  <c r="D51" i="34"/>
  <c r="D55" i="34" s="1"/>
  <c r="D58" i="34"/>
  <c r="B7" i="32"/>
  <c r="B16" i="32"/>
  <c r="B26" i="32"/>
  <c r="B2" i="32"/>
  <c r="B20" i="32"/>
  <c r="B5" i="32"/>
  <c r="B15" i="32"/>
  <c r="B17" i="32"/>
  <c r="B10" i="32"/>
  <c r="B22" i="32"/>
  <c r="B11" i="32"/>
  <c r="B25" i="32"/>
  <c r="B9" i="32"/>
  <c r="B23" i="32"/>
  <c r="B24" i="32"/>
  <c r="B13" i="32"/>
  <c r="B18" i="32"/>
  <c r="B21" i="32"/>
  <c r="B14" i="32"/>
  <c r="B3" i="32"/>
  <c r="B19" i="32"/>
  <c r="AA6" i="33"/>
  <c r="AA3" i="35"/>
  <c r="AA6" i="37"/>
  <c r="AA3" i="33"/>
  <c r="AA11" i="34"/>
  <c r="AA3" i="34"/>
  <c r="AA4" i="33"/>
  <c r="AA4" i="35"/>
  <c r="AA8" i="37"/>
  <c r="AA4" i="34"/>
  <c r="AA6" i="35"/>
  <c r="AA6" i="34"/>
  <c r="AA11" i="35"/>
  <c r="I6" i="26"/>
  <c r="J6" i="26" s="1"/>
  <c r="K6" i="26" s="1"/>
  <c r="L6" i="26" s="1"/>
  <c r="M6" i="26" s="1"/>
  <c r="N6" i="26" s="1"/>
  <c r="O6" i="26" s="1"/>
  <c r="P6" i="26" s="1"/>
  <c r="Q6" i="26" s="1"/>
  <c r="R6" i="26" s="1"/>
  <c r="S6" i="26" s="1"/>
  <c r="F6" i="25"/>
  <c r="G6" i="25" s="1"/>
  <c r="H6" i="25" s="1"/>
  <c r="I6" i="25" s="1"/>
  <c r="J6" i="25" s="1"/>
  <c r="B2" i="30"/>
  <c r="H8" i="29"/>
  <c r="I8" i="29"/>
  <c r="I10" i="29"/>
  <c r="C7" i="25"/>
  <c r="D7" i="25" s="1"/>
  <c r="E7" i="25" s="1"/>
  <c r="F7" i="25" s="1"/>
  <c r="G7" i="25" s="1"/>
  <c r="H7" i="25" s="1"/>
  <c r="I7" i="25" s="1"/>
  <c r="J7" i="25" s="1"/>
  <c r="K7" i="25" s="1"/>
  <c r="L7" i="25" s="1"/>
  <c r="M7" i="25" s="1"/>
  <c r="N7" i="25" s="1"/>
  <c r="O7" i="25" s="1"/>
  <c r="P7" i="25" s="1"/>
  <c r="Q7" i="25" s="1"/>
  <c r="R7" i="25" s="1"/>
  <c r="S7" i="25" s="1"/>
  <c r="T7" i="25" s="1"/>
  <c r="U7" i="25" s="1"/>
  <c r="V7" i="25" s="1"/>
  <c r="W7" i="25" s="1"/>
  <c r="X7" i="25" s="1"/>
  <c r="Y7" i="25" s="1"/>
  <c r="Z7" i="25" s="1"/>
  <c r="AA7" i="25"/>
  <c r="D3" i="29"/>
  <c r="C3" i="30" s="1"/>
  <c r="D3" i="30" s="1"/>
  <c r="E3" i="30" s="1"/>
  <c r="AA15" i="25"/>
  <c r="AA13" i="25"/>
  <c r="D2" i="29"/>
  <c r="C5" i="29"/>
  <c r="D5" i="29" s="1"/>
  <c r="C5" i="30" s="1"/>
  <c r="D5" i="30" s="1"/>
  <c r="E5" i="30" s="1"/>
  <c r="L15" i="26"/>
  <c r="Y13" i="26"/>
  <c r="E13" i="26"/>
  <c r="K15" i="26"/>
  <c r="X13" i="26"/>
  <c r="D13" i="26"/>
  <c r="H15" i="26"/>
  <c r="U13" i="26"/>
  <c r="G15" i="26"/>
  <c r="T13" i="26"/>
  <c r="Z15" i="26"/>
  <c r="F15" i="26"/>
  <c r="S13" i="26"/>
  <c r="Y15" i="26"/>
  <c r="E15" i="26"/>
  <c r="R13" i="26"/>
  <c r="X15" i="26"/>
  <c r="D15" i="26"/>
  <c r="Q13" i="26"/>
  <c r="W15" i="26"/>
  <c r="C15" i="26"/>
  <c r="P13" i="26"/>
  <c r="V15" i="26"/>
  <c r="B15" i="26"/>
  <c r="O13" i="26"/>
  <c r="G30" i="17"/>
  <c r="H30" i="17" s="1"/>
  <c r="I30" i="17" s="1"/>
  <c r="J30" i="17" s="1"/>
  <c r="K30" i="17" s="1"/>
  <c r="L30" i="17" s="1"/>
  <c r="M30" i="17" s="1"/>
  <c r="N30" i="17" s="1"/>
  <c r="O30" i="17" s="1"/>
  <c r="P30" i="17" s="1"/>
  <c r="Q30" i="17" s="1"/>
  <c r="R30" i="17" s="1"/>
  <c r="S30" i="17" s="1"/>
  <c r="T30" i="17" s="1"/>
  <c r="U30" i="17" s="1"/>
  <c r="V30" i="17" s="1"/>
  <c r="W30" i="17" s="1"/>
  <c r="X30" i="17" s="1"/>
  <c r="Y30" i="17" s="1"/>
  <c r="Z30" i="17" s="1"/>
  <c r="AA30" i="17" s="1"/>
  <c r="AB30" i="17" s="1"/>
  <c r="AC30" i="17" s="1"/>
  <c r="AD30" i="17" s="1"/>
  <c r="C2" i="19"/>
  <c r="AD79" i="17"/>
  <c r="F79" i="17"/>
  <c r="I50" i="13"/>
  <c r="I51" i="13" s="1"/>
  <c r="I53" i="13" s="1"/>
  <c r="I40" i="13" s="1"/>
  <c r="F24" i="17"/>
  <c r="F51" i="18" a="1"/>
  <c r="F51" i="18" s="1"/>
  <c r="F47" i="18" s="1"/>
  <c r="AE29" i="17"/>
  <c r="C76" i="13"/>
  <c r="AC23" i="20"/>
  <c r="X13" i="20"/>
  <c r="X26" i="20"/>
  <c r="G27" i="17"/>
  <c r="H27" i="17" s="1"/>
  <c r="I27" i="17" s="1"/>
  <c r="J27" i="17" s="1"/>
  <c r="K27" i="17" s="1"/>
  <c r="L27" i="17" s="1"/>
  <c r="M27" i="17" s="1"/>
  <c r="N27" i="17" s="1"/>
  <c r="O27" i="17" s="1"/>
  <c r="P27" i="17" s="1"/>
  <c r="Q27" i="17" s="1"/>
  <c r="R27" i="17" s="1"/>
  <c r="S27" i="17" s="1"/>
  <c r="T27" i="17" s="1"/>
  <c r="U27" i="17" s="1"/>
  <c r="V27" i="17" s="1"/>
  <c r="W27" i="17" s="1"/>
  <c r="X27" i="17" s="1"/>
  <c r="Y27" i="17" s="1"/>
  <c r="Z27" i="17" s="1"/>
  <c r="AA27" i="17" s="1"/>
  <c r="AB27" i="17" s="1"/>
  <c r="AC27" i="17" s="1"/>
  <c r="AD27" i="17" s="1"/>
  <c r="E7" i="18"/>
  <c r="E14" i="18" s="1"/>
  <c r="F8" i="18"/>
  <c r="C65" i="13"/>
  <c r="F14" i="17" s="1"/>
  <c r="D43" i="18"/>
  <c r="E41" i="18"/>
  <c r="D63" i="18"/>
  <c r="F63" i="18" s="1"/>
  <c r="F57" i="13"/>
  <c r="G70" i="18" s="1"/>
  <c r="G54" i="13"/>
  <c r="G57" i="13" s="1"/>
  <c r="H70" i="18" s="1"/>
  <c r="Y26" i="20"/>
  <c r="Y13" i="20"/>
  <c r="AB26" i="20"/>
  <c r="AB13" i="20"/>
  <c r="Q14" i="17"/>
  <c r="Z14" i="17"/>
  <c r="U14" i="17"/>
  <c r="V14" i="17"/>
  <c r="X14" i="17"/>
  <c r="H14" i="17"/>
  <c r="K14" i="17"/>
  <c r="P14" i="17"/>
  <c r="N14" i="17"/>
  <c r="B21" i="21"/>
  <c r="O14" i="17"/>
  <c r="R14" i="17"/>
  <c r="T14" i="17"/>
  <c r="D14" i="17"/>
  <c r="M14" i="17"/>
  <c r="G14" i="17"/>
  <c r="J14" i="17"/>
  <c r="C45" i="20"/>
  <c r="I14" i="17"/>
  <c r="L14" i="17"/>
  <c r="AB14" i="17"/>
  <c r="F32" i="18"/>
  <c r="D25" i="17" s="1"/>
  <c r="F25" i="17" s="1"/>
  <c r="AA26" i="20"/>
  <c r="F41" i="18"/>
  <c r="D28" i="17" s="1"/>
  <c r="F28" i="17" s="1"/>
  <c r="F17" i="18"/>
  <c r="D20" i="17" s="1"/>
  <c r="F20" i="18"/>
  <c r="F18" i="18"/>
  <c r="D21" i="17" s="1"/>
  <c r="F21" i="17" s="1"/>
  <c r="F19" i="18"/>
  <c r="D22" i="17" s="1"/>
  <c r="F22" i="17" s="1"/>
  <c r="C83" i="13"/>
  <c r="B26" i="21"/>
  <c r="Z26" i="20"/>
  <c r="Z13" i="20"/>
  <c r="D7" i="18"/>
  <c r="D14" i="18" s="1"/>
  <c r="F9" i="18"/>
  <c r="V13" i="20"/>
  <c r="V26" i="20"/>
  <c r="F38" i="18"/>
  <c r="F35" i="18" s="1"/>
  <c r="D26" i="17" s="1"/>
  <c r="F26" i="17" s="1"/>
  <c r="D44" i="17"/>
  <c r="F44" i="17" s="1"/>
  <c r="I12" i="20"/>
  <c r="L48" i="17"/>
  <c r="G68" i="18"/>
  <c r="C33" i="13"/>
  <c r="C78" i="13"/>
  <c r="C79" i="13" s="1"/>
  <c r="C82" i="13" s="1"/>
  <c r="E57" i="13"/>
  <c r="F70" i="18" s="1"/>
  <c r="AE37" i="17"/>
  <c r="F49" i="18" a="1"/>
  <c r="F49" i="18" s="1"/>
  <c r="F13" i="18"/>
  <c r="D18" i="17" s="1"/>
  <c r="F18" i="17" s="1"/>
  <c r="F7" i="18"/>
  <c r="F39" i="18"/>
  <c r="F50" i="18" a="1"/>
  <c r="F50" i="18" s="1"/>
  <c r="AC26" i="46" l="1"/>
  <c r="H17" i="45"/>
  <c r="J48" i="45"/>
  <c r="G12" i="46"/>
  <c r="G18" i="45"/>
  <c r="H18" i="45" s="1"/>
  <c r="I18" i="45" s="1"/>
  <c r="J18" i="45" s="1"/>
  <c r="K18" i="45" s="1"/>
  <c r="L18" i="45" s="1"/>
  <c r="M18" i="45" s="1"/>
  <c r="N18" i="45" s="1"/>
  <c r="O18" i="45" s="1"/>
  <c r="P18" i="45" s="1"/>
  <c r="Q18" i="45" s="1"/>
  <c r="R18" i="45" s="1"/>
  <c r="S18" i="45" s="1"/>
  <c r="T18" i="45" s="1"/>
  <c r="U18" i="45" s="1"/>
  <c r="V18" i="45" s="1"/>
  <c r="W18" i="45" s="1"/>
  <c r="X18" i="45" s="1"/>
  <c r="Y18" i="45" s="1"/>
  <c r="Z18" i="45" s="1"/>
  <c r="AA18" i="45" s="1"/>
  <c r="AB18" i="45" s="1"/>
  <c r="AC18" i="45" s="1"/>
  <c r="AD18" i="45" s="1"/>
  <c r="C33" i="46"/>
  <c r="I6" i="49"/>
  <c r="AA7" i="48"/>
  <c r="AE29" i="45"/>
  <c r="K24" i="45"/>
  <c r="I20" i="45"/>
  <c r="H23" i="45"/>
  <c r="G9" i="46"/>
  <c r="J44" i="45"/>
  <c r="L6" i="48"/>
  <c r="B13" i="47"/>
  <c r="C30" i="46"/>
  <c r="T31" i="41"/>
  <c r="I31" i="41"/>
  <c r="P31" i="41"/>
  <c r="S31" i="41"/>
  <c r="H31" i="41"/>
  <c r="G31" i="41"/>
  <c r="K31" i="41"/>
  <c r="J31" i="41"/>
  <c r="X31" i="41"/>
  <c r="Q31" i="41"/>
  <c r="W31" i="41"/>
  <c r="U31" i="41"/>
  <c r="B27" i="39"/>
  <c r="F9" i="39"/>
  <c r="C11" i="39" s="1"/>
  <c r="B31" i="41"/>
  <c r="Z31" i="41"/>
  <c r="F31" i="41"/>
  <c r="C31" i="41"/>
  <c r="V31" i="41"/>
  <c r="D31" i="41"/>
  <c r="R31" i="41"/>
  <c r="E31" i="41"/>
  <c r="O51" i="34"/>
  <c r="O55" i="34" s="1"/>
  <c r="O58" i="34"/>
  <c r="Q51" i="34"/>
  <c r="Q55" i="34" s="1"/>
  <c r="Q58" i="34"/>
  <c r="B58" i="34"/>
  <c r="B51" i="34"/>
  <c r="F9" i="32"/>
  <c r="F10" i="32" s="1"/>
  <c r="B27" i="32"/>
  <c r="G51" i="34"/>
  <c r="G55" i="34" s="1"/>
  <c r="G58" i="34"/>
  <c r="U58" i="34"/>
  <c r="U51" i="34"/>
  <c r="U55" i="34" s="1"/>
  <c r="R51" i="34"/>
  <c r="R55" i="34" s="1"/>
  <c r="R58" i="34"/>
  <c r="J58" i="34"/>
  <c r="J51" i="34"/>
  <c r="J55" i="34" s="1"/>
  <c r="E51" i="34"/>
  <c r="E55" i="34" s="1"/>
  <c r="E58" i="34"/>
  <c r="N51" i="34"/>
  <c r="N55" i="34" s="1"/>
  <c r="N58" i="34"/>
  <c r="F52" i="34"/>
  <c r="T58" i="34"/>
  <c r="T51" i="34"/>
  <c r="T55" i="34" s="1"/>
  <c r="Z51" i="34"/>
  <c r="Z55" i="34" s="1"/>
  <c r="Z58" i="34"/>
  <c r="S58" i="34"/>
  <c r="S51" i="34"/>
  <c r="S55" i="34" s="1"/>
  <c r="X58" i="34"/>
  <c r="X51" i="34"/>
  <c r="X55" i="34" s="1"/>
  <c r="I51" i="34"/>
  <c r="I55" i="34" s="1"/>
  <c r="I58" i="34"/>
  <c r="Y51" i="34"/>
  <c r="Y55" i="34" s="1"/>
  <c r="Y58" i="34"/>
  <c r="P51" i="34"/>
  <c r="P55" i="34" s="1"/>
  <c r="P58" i="34"/>
  <c r="L52" i="34"/>
  <c r="C58" i="34"/>
  <c r="C51" i="34"/>
  <c r="C55" i="34" s="1"/>
  <c r="M58" i="34"/>
  <c r="M51" i="34"/>
  <c r="M55" i="34" s="1"/>
  <c r="W58" i="34"/>
  <c r="W51" i="34"/>
  <c r="W55" i="34" s="1"/>
  <c r="K58" i="34"/>
  <c r="K51" i="34"/>
  <c r="K55" i="34" s="1"/>
  <c r="H52" i="34"/>
  <c r="D52" i="34"/>
  <c r="V58" i="34"/>
  <c r="V51" i="34"/>
  <c r="V55" i="34" s="1"/>
  <c r="AA15" i="26"/>
  <c r="K6" i="25"/>
  <c r="T6" i="26"/>
  <c r="U6" i="26" s="1"/>
  <c r="V6" i="26" s="1"/>
  <c r="W6" i="26" s="1"/>
  <c r="X6" i="26" s="1"/>
  <c r="Y6" i="26" s="1"/>
  <c r="Z6" i="26" s="1"/>
  <c r="AA13" i="26"/>
  <c r="C2" i="30"/>
  <c r="O79" i="17"/>
  <c r="K79" i="17"/>
  <c r="I79" i="17"/>
  <c r="H79" i="17"/>
  <c r="J79" i="17"/>
  <c r="AC79" i="17"/>
  <c r="D31" i="17"/>
  <c r="D11" i="20"/>
  <c r="F63" i="17"/>
  <c r="Z11" i="20"/>
  <c r="AB63" i="17"/>
  <c r="N63" i="17"/>
  <c r="L11" i="20"/>
  <c r="G24" i="17"/>
  <c r="G22" i="17"/>
  <c r="H22" i="17" s="1"/>
  <c r="I22" i="17" s="1"/>
  <c r="J22" i="17" s="1"/>
  <c r="K22" i="17" s="1"/>
  <c r="L22" i="17" s="1"/>
  <c r="M22" i="17" s="1"/>
  <c r="N22" i="17" s="1"/>
  <c r="O22" i="17" s="1"/>
  <c r="P22" i="17" s="1"/>
  <c r="Q22" i="17" s="1"/>
  <c r="R22" i="17" s="1"/>
  <c r="S22" i="17" s="1"/>
  <c r="T22" i="17" s="1"/>
  <c r="U22" i="17" s="1"/>
  <c r="V22" i="17" s="1"/>
  <c r="W22" i="17" s="1"/>
  <c r="X22" i="17" s="1"/>
  <c r="Y22" i="17" s="1"/>
  <c r="Z22" i="17" s="1"/>
  <c r="AA22" i="17" s="1"/>
  <c r="AB22" i="17" s="1"/>
  <c r="AC22" i="17" s="1"/>
  <c r="AD22" i="17" s="1"/>
  <c r="P63" i="17"/>
  <c r="N11" i="20"/>
  <c r="G44" i="17"/>
  <c r="D9" i="20"/>
  <c r="G79" i="17"/>
  <c r="U79" i="17"/>
  <c r="I39" i="13"/>
  <c r="U63" i="17"/>
  <c r="S11" i="20"/>
  <c r="J12" i="20"/>
  <c r="M48" i="17"/>
  <c r="X11" i="20"/>
  <c r="Z63" i="17"/>
  <c r="Y79" i="17"/>
  <c r="R17" i="20"/>
  <c r="R19" i="20" s="1"/>
  <c r="C87" i="13"/>
  <c r="C89" i="13" s="1"/>
  <c r="C19" i="13" s="1"/>
  <c r="C81" i="13"/>
  <c r="C84" i="13" s="1"/>
  <c r="J11" i="20"/>
  <c r="L63" i="17"/>
  <c r="I63" i="17"/>
  <c r="G11" i="20"/>
  <c r="Q79" i="17"/>
  <c r="G25" i="17"/>
  <c r="H25" i="17" s="1"/>
  <c r="I25" i="17" s="1"/>
  <c r="J25" i="17" s="1"/>
  <c r="K25" i="17" s="1"/>
  <c r="L25" i="17" s="1"/>
  <c r="M25" i="17" s="1"/>
  <c r="N25" i="17" s="1"/>
  <c r="O25" i="17" s="1"/>
  <c r="P25" i="17" s="1"/>
  <c r="Q25" i="17" s="1"/>
  <c r="R25" i="17" s="1"/>
  <c r="S25" i="17" s="1"/>
  <c r="T25" i="17" s="1"/>
  <c r="U25" i="17" s="1"/>
  <c r="V25" i="17" s="1"/>
  <c r="W25" i="17" s="1"/>
  <c r="X25" i="17" s="1"/>
  <c r="Y25" i="17" s="1"/>
  <c r="Z25" i="17" s="1"/>
  <c r="AA25" i="17" s="1"/>
  <c r="AB25" i="17" s="1"/>
  <c r="AC25" i="17" s="1"/>
  <c r="AD25" i="17" s="1"/>
  <c r="AE25" i="17"/>
  <c r="V11" i="20"/>
  <c r="X63" i="17"/>
  <c r="X79" i="17"/>
  <c r="L79" i="17"/>
  <c r="V63" i="17"/>
  <c r="T11" i="20"/>
  <c r="Z79" i="17"/>
  <c r="AC14" i="17"/>
  <c r="N79" i="17"/>
  <c r="R63" i="17"/>
  <c r="P11" i="20"/>
  <c r="M11" i="20"/>
  <c r="O63" i="17"/>
  <c r="AE27" i="17"/>
  <c r="G21" i="17"/>
  <c r="H21" i="17" s="1"/>
  <c r="I21" i="17" s="1"/>
  <c r="J21" i="17" s="1"/>
  <c r="K21" i="17" s="1"/>
  <c r="L21" i="17" s="1"/>
  <c r="M21" i="17" s="1"/>
  <c r="N21" i="17" s="1"/>
  <c r="O21" i="17" s="1"/>
  <c r="P21" i="17" s="1"/>
  <c r="Q21" i="17" s="1"/>
  <c r="R21" i="17" s="1"/>
  <c r="S21" i="17" s="1"/>
  <c r="T21" i="17" s="1"/>
  <c r="U21" i="17" s="1"/>
  <c r="V21" i="17" s="1"/>
  <c r="W21" i="17" s="1"/>
  <c r="X21" i="17" s="1"/>
  <c r="Y21" i="17" s="1"/>
  <c r="Z21" i="17" s="1"/>
  <c r="AA21" i="17" s="1"/>
  <c r="AB21" i="17" s="1"/>
  <c r="AC21" i="17" s="1"/>
  <c r="AD21" i="17" s="1"/>
  <c r="AE21" i="17"/>
  <c r="G26" i="17"/>
  <c r="H26" i="17" s="1"/>
  <c r="I26" i="17" s="1"/>
  <c r="J26" i="17" s="1"/>
  <c r="K26" i="17" s="1"/>
  <c r="L26" i="17" s="1"/>
  <c r="M26" i="17" s="1"/>
  <c r="N26" i="17" s="1"/>
  <c r="O26" i="17" s="1"/>
  <c r="P26" i="17" s="1"/>
  <c r="Q26" i="17" s="1"/>
  <c r="R26" i="17" s="1"/>
  <c r="S26" i="17" s="1"/>
  <c r="T26" i="17" s="1"/>
  <c r="U26" i="17" s="1"/>
  <c r="V26" i="17" s="1"/>
  <c r="W26" i="17" s="1"/>
  <c r="X26" i="17" s="1"/>
  <c r="Y26" i="17" s="1"/>
  <c r="Z26" i="17" s="1"/>
  <c r="AA26" i="17" s="1"/>
  <c r="AB26" i="17" s="1"/>
  <c r="AC26" i="17" s="1"/>
  <c r="AD26" i="17" s="1"/>
  <c r="AE26" i="17"/>
  <c r="H11" i="20"/>
  <c r="J63" i="17"/>
  <c r="K63" i="17"/>
  <c r="I11" i="20"/>
  <c r="R79" i="17"/>
  <c r="W79" i="17"/>
  <c r="D23" i="17"/>
  <c r="F20" i="17"/>
  <c r="P79" i="17"/>
  <c r="T79" i="17"/>
  <c r="G28" i="17"/>
  <c r="H28" i="17" s="1"/>
  <c r="I28" i="17" s="1"/>
  <c r="J28" i="17" s="1"/>
  <c r="K28" i="17" s="1"/>
  <c r="L28" i="17" s="1"/>
  <c r="M28" i="17" s="1"/>
  <c r="N28" i="17" s="1"/>
  <c r="O28" i="17" s="1"/>
  <c r="P28" i="17" s="1"/>
  <c r="Q28" i="17" s="1"/>
  <c r="R28" i="17" s="1"/>
  <c r="S28" i="17" s="1"/>
  <c r="T28" i="17" s="1"/>
  <c r="U28" i="17" s="1"/>
  <c r="V28" i="17" s="1"/>
  <c r="W28" i="17" s="1"/>
  <c r="X28" i="17" s="1"/>
  <c r="Y28" i="17" s="1"/>
  <c r="Z28" i="17" s="1"/>
  <c r="AA28" i="17" s="1"/>
  <c r="AB28" i="17" s="1"/>
  <c r="AC28" i="17" s="1"/>
  <c r="AD28" i="17" s="1"/>
  <c r="E11" i="20"/>
  <c r="G63" i="17"/>
  <c r="F11" i="20"/>
  <c r="H63" i="17"/>
  <c r="H63" i="18"/>
  <c r="AB79" i="17"/>
  <c r="S79" i="17"/>
  <c r="C13" i="19"/>
  <c r="C12" i="19"/>
  <c r="C14" i="19"/>
  <c r="M63" i="17"/>
  <c r="K11" i="20"/>
  <c r="V79" i="17"/>
  <c r="F14" i="18"/>
  <c r="D17" i="17"/>
  <c r="AA79" i="17"/>
  <c r="G18" i="17"/>
  <c r="H18" i="17" s="1"/>
  <c r="I18" i="17" s="1"/>
  <c r="J18" i="17" s="1"/>
  <c r="K18" i="17" s="1"/>
  <c r="L18" i="17" s="1"/>
  <c r="M18" i="17" s="1"/>
  <c r="N18" i="17" s="1"/>
  <c r="O18" i="17" s="1"/>
  <c r="P18" i="17" s="1"/>
  <c r="Q18" i="17" s="1"/>
  <c r="R18" i="17" s="1"/>
  <c r="S18" i="17" s="1"/>
  <c r="T18" i="17" s="1"/>
  <c r="U18" i="17" s="1"/>
  <c r="V18" i="17" s="1"/>
  <c r="W18" i="17" s="1"/>
  <c r="X18" i="17" s="1"/>
  <c r="Y18" i="17" s="1"/>
  <c r="Z18" i="17" s="1"/>
  <c r="AA18" i="17" s="1"/>
  <c r="AB18" i="17" s="1"/>
  <c r="AC18" i="17" s="1"/>
  <c r="AD18" i="17" s="1"/>
  <c r="AA14" i="17"/>
  <c r="W14" i="17"/>
  <c r="AD14" i="17"/>
  <c r="Y14" i="17"/>
  <c r="AE30" i="17"/>
  <c r="S14" i="17"/>
  <c r="M79" i="17"/>
  <c r="T63" i="17"/>
  <c r="R11" i="20"/>
  <c r="O11" i="20"/>
  <c r="Q63" i="17"/>
  <c r="C10" i="39" l="1"/>
  <c r="C23" i="39"/>
  <c r="W26" i="41" s="1"/>
  <c r="C8" i="39"/>
  <c r="C19" i="39"/>
  <c r="S26" i="41" s="1"/>
  <c r="C17" i="39"/>
  <c r="C3" i="39"/>
  <c r="C26" i="41" s="1"/>
  <c r="C24" i="39"/>
  <c r="X26" i="41" s="1"/>
  <c r="C16" i="39"/>
  <c r="P26" i="41" s="1"/>
  <c r="C2" i="39"/>
  <c r="B26" i="41" s="1"/>
  <c r="G19" i="45"/>
  <c r="H19" i="45"/>
  <c r="I17" i="45"/>
  <c r="H9" i="46"/>
  <c r="K44" i="45"/>
  <c r="C6" i="39"/>
  <c r="F26" i="41" s="1"/>
  <c r="AE18" i="45"/>
  <c r="C26" i="39"/>
  <c r="H12" i="46"/>
  <c r="K48" i="45"/>
  <c r="C5" i="39"/>
  <c r="E26" i="41" s="1"/>
  <c r="J20" i="45"/>
  <c r="I23" i="45"/>
  <c r="L24" i="45"/>
  <c r="M6" i="48"/>
  <c r="C29" i="46"/>
  <c r="C34" i="46"/>
  <c r="C18" i="39"/>
  <c r="J6" i="49"/>
  <c r="C7" i="39"/>
  <c r="K26" i="41"/>
  <c r="B28" i="39"/>
  <c r="B29" i="39"/>
  <c r="C4" i="39"/>
  <c r="C9" i="39"/>
  <c r="C20" i="39"/>
  <c r="AA31" i="41"/>
  <c r="F10" i="39"/>
  <c r="C13" i="39"/>
  <c r="C12" i="39"/>
  <c r="C25" i="39"/>
  <c r="C15" i="39"/>
  <c r="C14" i="39"/>
  <c r="C21" i="39"/>
  <c r="C22" i="39"/>
  <c r="P52" i="34"/>
  <c r="AA51" i="34"/>
  <c r="B55" i="34"/>
  <c r="I52" i="34"/>
  <c r="W52" i="34"/>
  <c r="Y52" i="34"/>
  <c r="G52" i="34"/>
  <c r="J52" i="34"/>
  <c r="T52" i="34"/>
  <c r="X52" i="34"/>
  <c r="Q52" i="34"/>
  <c r="U52" i="34"/>
  <c r="E52" i="34"/>
  <c r="M52" i="34"/>
  <c r="Z52" i="34"/>
  <c r="C52" i="34"/>
  <c r="O52" i="34"/>
  <c r="K52" i="34"/>
  <c r="N52" i="34"/>
  <c r="AA58" i="34"/>
  <c r="R52" i="34"/>
  <c r="V52" i="34"/>
  <c r="S52" i="34"/>
  <c r="D2" i="30"/>
  <c r="E2" i="30" s="1"/>
  <c r="L6" i="25"/>
  <c r="AA6" i="26"/>
  <c r="AE79" i="17"/>
  <c r="C51" i="20"/>
  <c r="B25" i="21"/>
  <c r="C21" i="13"/>
  <c r="I41" i="13"/>
  <c r="I42" i="13" s="1"/>
  <c r="AC63" i="17"/>
  <c r="AA11" i="20"/>
  <c r="F31" i="17"/>
  <c r="F23" i="17"/>
  <c r="G20" i="17"/>
  <c r="C91" i="13"/>
  <c r="AE22" i="17"/>
  <c r="S63" i="17"/>
  <c r="AE63" i="17" s="1"/>
  <c r="Q11" i="20"/>
  <c r="K12" i="20"/>
  <c r="N48" i="17"/>
  <c r="W11" i="20"/>
  <c r="Y63" i="17"/>
  <c r="AB11" i="20"/>
  <c r="AD63" i="17"/>
  <c r="H24" i="17"/>
  <c r="U11" i="20"/>
  <c r="W63" i="17"/>
  <c r="Y11" i="20"/>
  <c r="AA63" i="17"/>
  <c r="AE14" i="17"/>
  <c r="AE18" i="17"/>
  <c r="AE28" i="17"/>
  <c r="AC11" i="20"/>
  <c r="D19" i="17"/>
  <c r="F17" i="17"/>
  <c r="E9" i="20"/>
  <c r="H44" i="17"/>
  <c r="J26" i="41" l="1"/>
  <c r="H26" i="41"/>
  <c r="Q26" i="41"/>
  <c r="R26" i="41"/>
  <c r="Z26" i="41"/>
  <c r="G26" i="41"/>
  <c r="M24" i="45"/>
  <c r="K6" i="49"/>
  <c r="K20" i="45"/>
  <c r="J23" i="45"/>
  <c r="N6" i="48"/>
  <c r="I9" i="46"/>
  <c r="L44" i="45"/>
  <c r="J17" i="45"/>
  <c r="I19" i="45"/>
  <c r="I12" i="46"/>
  <c r="L48" i="45"/>
  <c r="M26" i="41"/>
  <c r="D26" i="41"/>
  <c r="V26" i="41"/>
  <c r="U26" i="41"/>
  <c r="T26" i="41"/>
  <c r="N26" i="41"/>
  <c r="C27" i="39"/>
  <c r="O26" i="41"/>
  <c r="I26" i="41"/>
  <c r="Y26" i="41"/>
  <c r="L26" i="41"/>
  <c r="B52" i="34"/>
  <c r="AA52" i="34" s="1"/>
  <c r="AA55" i="34"/>
  <c r="C2" i="32" s="1"/>
  <c r="M6" i="25"/>
  <c r="I24" i="17"/>
  <c r="G31" i="17"/>
  <c r="B24" i="21"/>
  <c r="C50" i="20"/>
  <c r="F72" i="17"/>
  <c r="AA72" i="17"/>
  <c r="J72" i="17"/>
  <c r="AB72" i="17"/>
  <c r="O72" i="17"/>
  <c r="AD72" i="17"/>
  <c r="N72" i="17"/>
  <c r="Z72" i="17"/>
  <c r="P72" i="17"/>
  <c r="R72" i="17"/>
  <c r="Y72" i="17"/>
  <c r="AC72" i="17"/>
  <c r="K72" i="17"/>
  <c r="S72" i="17"/>
  <c r="T72" i="17"/>
  <c r="G72" i="17"/>
  <c r="V72" i="17"/>
  <c r="U72" i="17"/>
  <c r="H72" i="17"/>
  <c r="H20" i="17"/>
  <c r="G23" i="17"/>
  <c r="F39" i="13"/>
  <c r="J56" i="18"/>
  <c r="I43" i="13"/>
  <c r="I47" i="13" s="1"/>
  <c r="C26" i="13" s="1"/>
  <c r="C17" i="20"/>
  <c r="F12" i="13"/>
  <c r="F35" i="13"/>
  <c r="Q72" i="17" s="1"/>
  <c r="F9" i="20"/>
  <c r="I44" i="17"/>
  <c r="F19" i="17"/>
  <c r="G17" i="17"/>
  <c r="L12" i="20"/>
  <c r="O48" i="17"/>
  <c r="N24" i="45" l="1"/>
  <c r="J12" i="46"/>
  <c r="M48" i="45"/>
  <c r="J9" i="46"/>
  <c r="M44" i="45"/>
  <c r="K17" i="45"/>
  <c r="J19" i="45"/>
  <c r="O6" i="48"/>
  <c r="L6" i="49"/>
  <c r="L20" i="45"/>
  <c r="K23" i="45"/>
  <c r="AA26" i="41"/>
  <c r="B62" i="34"/>
  <c r="B61" i="34" s="1"/>
  <c r="C12" i="32"/>
  <c r="C6" i="32"/>
  <c r="C4" i="32"/>
  <c r="C8" i="32"/>
  <c r="C23" i="32"/>
  <c r="C5" i="32"/>
  <c r="C10" i="32"/>
  <c r="C13" i="32"/>
  <c r="C20" i="32"/>
  <c r="C21" i="32"/>
  <c r="C7" i="32"/>
  <c r="C18" i="32"/>
  <c r="C17" i="32"/>
  <c r="C9" i="32"/>
  <c r="C15" i="32"/>
  <c r="C11" i="32"/>
  <c r="C16" i="32"/>
  <c r="C22" i="32"/>
  <c r="C25" i="32"/>
  <c r="C24" i="32"/>
  <c r="C3" i="32"/>
  <c r="C19" i="32"/>
  <c r="C14" i="32"/>
  <c r="C26" i="32"/>
  <c r="N6" i="25"/>
  <c r="B12" i="19"/>
  <c r="D12" i="19" s="1"/>
  <c r="C18" i="19" s="1"/>
  <c r="M12" i="20"/>
  <c r="P48" i="17"/>
  <c r="G19" i="17"/>
  <c r="H17" i="17"/>
  <c r="C24" i="20"/>
  <c r="AC24" i="20" s="1"/>
  <c r="E11" i="15"/>
  <c r="J58" i="18"/>
  <c r="E54" i="18" a="1"/>
  <c r="E54" i="18" s="1"/>
  <c r="F54" i="18" s="1"/>
  <c r="F53" i="18" s="1"/>
  <c r="D32" i="45" s="1"/>
  <c r="G9" i="20"/>
  <c r="J44" i="17"/>
  <c r="W72" i="17"/>
  <c r="C19" i="20"/>
  <c r="AC17" i="20"/>
  <c r="I20" i="17"/>
  <c r="H23" i="17"/>
  <c r="B20" i="21"/>
  <c r="B8" i="21"/>
  <c r="C21" i="20"/>
  <c r="C44" i="20"/>
  <c r="H31" i="17"/>
  <c r="M72" i="17"/>
  <c r="X72" i="17"/>
  <c r="J24" i="17"/>
  <c r="I72" i="17"/>
  <c r="AE72" i="17" s="1"/>
  <c r="B34" i="19"/>
  <c r="D34" i="19" s="1"/>
  <c r="Y74" i="17"/>
  <c r="B36" i="19"/>
  <c r="D36" i="19" s="1"/>
  <c r="D12" i="17" s="1"/>
  <c r="F12" i="17" s="1"/>
  <c r="G74" i="17"/>
  <c r="AA74" i="17"/>
  <c r="O74" i="17"/>
  <c r="R74" i="17"/>
  <c r="AC74" i="17"/>
  <c r="AD74" i="17"/>
  <c r="B35" i="19"/>
  <c r="H74" i="17"/>
  <c r="M74" i="17"/>
  <c r="T74" i="17"/>
  <c r="U74" i="17"/>
  <c r="V74" i="17"/>
  <c r="W74" i="17"/>
  <c r="AB74" i="17"/>
  <c r="X74" i="17"/>
  <c r="Z74" i="17"/>
  <c r="AE74" i="17"/>
  <c r="F74" i="17"/>
  <c r="J74" i="17"/>
  <c r="Q74" i="17"/>
  <c r="K74" i="17"/>
  <c r="N74" i="17"/>
  <c r="P74" i="17"/>
  <c r="S74" i="17"/>
  <c r="L74" i="17"/>
  <c r="I74" i="17"/>
  <c r="L72" i="17"/>
  <c r="F32" i="45" l="1"/>
  <c r="D33" i="45"/>
  <c r="P6" i="48"/>
  <c r="K9" i="46"/>
  <c r="N44" i="45"/>
  <c r="K12" i="46"/>
  <c r="N48" i="45"/>
  <c r="L23" i="45"/>
  <c r="M20" i="45"/>
  <c r="O24" i="45"/>
  <c r="K19" i="45"/>
  <c r="L17" i="45"/>
  <c r="M6" i="49"/>
  <c r="C27" i="32"/>
  <c r="O6" i="25"/>
  <c r="D10" i="17"/>
  <c r="C46" i="20"/>
  <c r="C47" i="20" s="1"/>
  <c r="B22" i="21"/>
  <c r="C12" i="15"/>
  <c r="B15" i="15"/>
  <c r="D4" i="15"/>
  <c r="B20" i="15"/>
  <c r="B16" i="15"/>
  <c r="B11" i="15"/>
  <c r="B18" i="15"/>
  <c r="B25" i="15"/>
  <c r="B26" i="15"/>
  <c r="B21" i="15"/>
  <c r="B22" i="15"/>
  <c r="B13" i="15"/>
  <c r="B23" i="15"/>
  <c r="B14" i="15"/>
  <c r="B24" i="15"/>
  <c r="B17" i="15"/>
  <c r="B19" i="15"/>
  <c r="B12" i="15"/>
  <c r="G12" i="17"/>
  <c r="H12" i="17" s="1"/>
  <c r="I12" i="17" s="1"/>
  <c r="J12" i="17" s="1"/>
  <c r="K12" i="17" s="1"/>
  <c r="L12" i="17" s="1"/>
  <c r="M12" i="17" s="1"/>
  <c r="N12" i="17" s="1"/>
  <c r="O12" i="17" s="1"/>
  <c r="P12" i="17" s="1"/>
  <c r="Q12" i="17" s="1"/>
  <c r="R12" i="17" s="1"/>
  <c r="S12" i="17" s="1"/>
  <c r="T12" i="17" s="1"/>
  <c r="U12" i="17" s="1"/>
  <c r="V12" i="17" s="1"/>
  <c r="W12" i="17" s="1"/>
  <c r="X12" i="17" s="1"/>
  <c r="Y12" i="17" s="1"/>
  <c r="Z12" i="17" s="1"/>
  <c r="AA12" i="17" s="1"/>
  <c r="AB12" i="17" s="1"/>
  <c r="AC12" i="17" s="1"/>
  <c r="AD12" i="17" s="1"/>
  <c r="I31" i="17"/>
  <c r="B10" i="21"/>
  <c r="AB8" i="21"/>
  <c r="H19" i="17"/>
  <c r="I17" i="17"/>
  <c r="AC19" i="20"/>
  <c r="C30" i="20"/>
  <c r="H9" i="20"/>
  <c r="K44" i="17"/>
  <c r="K24" i="17"/>
  <c r="Q48" i="17"/>
  <c r="N12" i="20"/>
  <c r="J20" i="17"/>
  <c r="I23" i="17"/>
  <c r="D32" i="17"/>
  <c r="F56" i="18"/>
  <c r="C28" i="20"/>
  <c r="AC21" i="20"/>
  <c r="C32" i="20"/>
  <c r="B23" i="21"/>
  <c r="G32" i="45" l="1"/>
  <c r="F33" i="45"/>
  <c r="L19" i="45"/>
  <c r="M17" i="45"/>
  <c r="L12" i="46"/>
  <c r="O48" i="45"/>
  <c r="P24" i="45"/>
  <c r="Q6" i="48"/>
  <c r="N20" i="45"/>
  <c r="M23" i="45"/>
  <c r="O44" i="45"/>
  <c r="L9" i="46"/>
  <c r="N6" i="49"/>
  <c r="P6" i="25"/>
  <c r="AE12" i="17"/>
  <c r="C33" i="20"/>
  <c r="F32" i="17"/>
  <c r="D33" i="17"/>
  <c r="B12" i="21"/>
  <c r="R48" i="17"/>
  <c r="O12" i="20"/>
  <c r="C29" i="20"/>
  <c r="C34" i="20"/>
  <c r="F49" i="17"/>
  <c r="I9" i="20"/>
  <c r="L44" i="17"/>
  <c r="J17" i="17"/>
  <c r="I19" i="17"/>
  <c r="B9" i="15"/>
  <c r="D12" i="15"/>
  <c r="K20" i="17"/>
  <c r="J23" i="17"/>
  <c r="J31" i="17"/>
  <c r="F10" i="17"/>
  <c r="L24" i="17"/>
  <c r="H32" i="45" l="1"/>
  <c r="G33" i="45"/>
  <c r="O20" i="45"/>
  <c r="N23" i="45"/>
  <c r="Q24" i="45"/>
  <c r="O6" i="49"/>
  <c r="M12" i="46"/>
  <c r="P48" i="45"/>
  <c r="M9" i="46"/>
  <c r="P44" i="45"/>
  <c r="M19" i="45"/>
  <c r="N17" i="45"/>
  <c r="R6" i="48"/>
  <c r="Q6" i="25"/>
  <c r="M24" i="17"/>
  <c r="AE10" i="17"/>
  <c r="G32" i="17"/>
  <c r="F33" i="17"/>
  <c r="S48" i="17"/>
  <c r="P12" i="20"/>
  <c r="J19" i="17"/>
  <c r="K17" i="17"/>
  <c r="M44" i="17"/>
  <c r="J9" i="20"/>
  <c r="B13" i="21"/>
  <c r="D25" i="20"/>
  <c r="E12" i="15"/>
  <c r="K31" i="17"/>
  <c r="L20" i="17"/>
  <c r="K23" i="17"/>
  <c r="D26" i="20"/>
  <c r="D13" i="20"/>
  <c r="I32" i="45" l="1"/>
  <c r="H33" i="45"/>
  <c r="N19" i="45"/>
  <c r="O17" i="45"/>
  <c r="N9" i="46"/>
  <c r="Q44" i="45"/>
  <c r="S6" i="48"/>
  <c r="N12" i="46"/>
  <c r="Q48" i="45"/>
  <c r="R24" i="45"/>
  <c r="O23" i="45"/>
  <c r="P20" i="45"/>
  <c r="P6" i="49"/>
  <c r="R6" i="25"/>
  <c r="L31" i="17"/>
  <c r="N44" i="17"/>
  <c r="K9" i="20"/>
  <c r="L17" i="17"/>
  <c r="K19" i="17"/>
  <c r="C13" i="15"/>
  <c r="T48" i="17"/>
  <c r="Q12" i="20"/>
  <c r="H32" i="17"/>
  <c r="G33" i="17"/>
  <c r="N24" i="17"/>
  <c r="L23" i="17"/>
  <c r="M20" i="17"/>
  <c r="J32" i="45" l="1"/>
  <c r="I33" i="45"/>
  <c r="S24" i="45"/>
  <c r="O12" i="46"/>
  <c r="R48" i="45"/>
  <c r="T6" i="48"/>
  <c r="P23" i="45"/>
  <c r="Q20" i="45"/>
  <c r="Q6" i="49"/>
  <c r="O19" i="45"/>
  <c r="P17" i="45"/>
  <c r="O9" i="46"/>
  <c r="R44" i="45"/>
  <c r="S6" i="25"/>
  <c r="U48" i="17"/>
  <c r="R12" i="20"/>
  <c r="G49" i="17"/>
  <c r="D13" i="15"/>
  <c r="M17" i="17"/>
  <c r="L19" i="17"/>
  <c r="I32" i="17"/>
  <c r="H33" i="17"/>
  <c r="O44" i="17"/>
  <c r="L9" i="20"/>
  <c r="M23" i="17"/>
  <c r="N20" i="17"/>
  <c r="O24" i="17"/>
  <c r="M31" i="17"/>
  <c r="K32" i="45" l="1"/>
  <c r="J33" i="45"/>
  <c r="T24" i="45"/>
  <c r="P9" i="46"/>
  <c r="S44" i="45"/>
  <c r="Q23" i="45"/>
  <c r="R20" i="45"/>
  <c r="R6" i="49"/>
  <c r="U6" i="48"/>
  <c r="Q17" i="45"/>
  <c r="P19" i="45"/>
  <c r="P12" i="46"/>
  <c r="S48" i="45"/>
  <c r="T6" i="25"/>
  <c r="N31" i="17"/>
  <c r="M9" i="20"/>
  <c r="P44" i="17"/>
  <c r="J32" i="17"/>
  <c r="I33" i="17"/>
  <c r="O20" i="17"/>
  <c r="N23" i="17"/>
  <c r="E26" i="20"/>
  <c r="E13" i="20"/>
  <c r="N17" i="17"/>
  <c r="M19" i="17"/>
  <c r="E25" i="20"/>
  <c r="E13" i="15"/>
  <c r="P24" i="17"/>
  <c r="S12" i="20"/>
  <c r="V48" i="17"/>
  <c r="L32" i="45" l="1"/>
  <c r="K33" i="45"/>
  <c r="Q19" i="45"/>
  <c r="R17" i="45"/>
  <c r="T48" i="45"/>
  <c r="Q12" i="46"/>
  <c r="S6" i="49"/>
  <c r="U24" i="45"/>
  <c r="S20" i="45"/>
  <c r="R23" i="45"/>
  <c r="Q9" i="46"/>
  <c r="T44" i="45"/>
  <c r="V6" i="48"/>
  <c r="U6" i="25"/>
  <c r="O23" i="17"/>
  <c r="P20" i="17"/>
  <c r="O17" i="17"/>
  <c r="N19" i="17"/>
  <c r="K32" i="17"/>
  <c r="J33" i="17"/>
  <c r="C14" i="15"/>
  <c r="N9" i="20"/>
  <c r="Q44" i="17"/>
  <c r="O31" i="17"/>
  <c r="Q24" i="17"/>
  <c r="T12" i="20"/>
  <c r="W48" i="17"/>
  <c r="M32" i="45" l="1"/>
  <c r="L33" i="45"/>
  <c r="R12" i="46"/>
  <c r="U48" i="45"/>
  <c r="S23" i="45"/>
  <c r="T20" i="45"/>
  <c r="V24" i="45"/>
  <c r="S17" i="45"/>
  <c r="R19" i="45"/>
  <c r="T6" i="49"/>
  <c r="W6" i="48"/>
  <c r="R9" i="46"/>
  <c r="U44" i="45"/>
  <c r="V6" i="25"/>
  <c r="U12" i="20"/>
  <c r="X48" i="17"/>
  <c r="Q20" i="17"/>
  <c r="P23" i="17"/>
  <c r="L32" i="17"/>
  <c r="K33" i="17"/>
  <c r="R24" i="17"/>
  <c r="O19" i="17"/>
  <c r="P17" i="17"/>
  <c r="H49" i="17"/>
  <c r="D14" i="15"/>
  <c r="P31" i="17"/>
  <c r="O9" i="20"/>
  <c r="R44" i="17"/>
  <c r="N32" i="45" l="1"/>
  <c r="M33" i="45"/>
  <c r="T23" i="45"/>
  <c r="U20" i="45"/>
  <c r="S19" i="45"/>
  <c r="T17" i="45"/>
  <c r="W24" i="45"/>
  <c r="V48" i="45"/>
  <c r="S12" i="46"/>
  <c r="U6" i="49"/>
  <c r="S9" i="46"/>
  <c r="V44" i="45"/>
  <c r="X6" i="48"/>
  <c r="W6" i="25"/>
  <c r="P9" i="20"/>
  <c r="S44" i="17"/>
  <c r="M32" i="17"/>
  <c r="L33" i="17"/>
  <c r="Q31" i="17"/>
  <c r="V12" i="20"/>
  <c r="Y48" i="17"/>
  <c r="F25" i="20"/>
  <c r="E14" i="15"/>
  <c r="F26" i="20"/>
  <c r="F13" i="20"/>
  <c r="Q23" i="17"/>
  <c r="R20" i="17"/>
  <c r="P19" i="17"/>
  <c r="Q17" i="17"/>
  <c r="S24" i="17"/>
  <c r="O32" i="45" l="1"/>
  <c r="N33" i="45"/>
  <c r="Y6" i="48"/>
  <c r="W44" i="45"/>
  <c r="T9" i="46"/>
  <c r="U23" i="45"/>
  <c r="V20" i="45"/>
  <c r="W48" i="45"/>
  <c r="T12" i="46"/>
  <c r="V6" i="49"/>
  <c r="X24" i="45"/>
  <c r="T19" i="45"/>
  <c r="U17" i="45"/>
  <c r="X6" i="25"/>
  <c r="W12" i="20"/>
  <c r="Z48" i="17"/>
  <c r="T24" i="17"/>
  <c r="Q9" i="20"/>
  <c r="T44" i="17"/>
  <c r="R31" i="17"/>
  <c r="R17" i="17"/>
  <c r="Q19" i="17"/>
  <c r="C15" i="15"/>
  <c r="N32" i="17"/>
  <c r="M33" i="17"/>
  <c r="S20" i="17"/>
  <c r="R23" i="17"/>
  <c r="P32" i="45" l="1"/>
  <c r="O33" i="45"/>
  <c r="Y24" i="45"/>
  <c r="U9" i="46"/>
  <c r="X44" i="45"/>
  <c r="V17" i="45"/>
  <c r="U19" i="45"/>
  <c r="V23" i="45"/>
  <c r="W20" i="45"/>
  <c r="X48" i="45"/>
  <c r="U12" i="46"/>
  <c r="Z6" i="48"/>
  <c r="W6" i="49"/>
  <c r="Y6" i="25"/>
  <c r="R9" i="20"/>
  <c r="U44" i="17"/>
  <c r="S23" i="17"/>
  <c r="T20" i="17"/>
  <c r="U24" i="17"/>
  <c r="R19" i="17"/>
  <c r="S17" i="17"/>
  <c r="S31" i="17"/>
  <c r="X12" i="20"/>
  <c r="AA48" i="17"/>
  <c r="I49" i="17"/>
  <c r="D15" i="15"/>
  <c r="O32" i="17"/>
  <c r="N33" i="17"/>
  <c r="Q32" i="45" l="1"/>
  <c r="P33" i="45"/>
  <c r="X6" i="49"/>
  <c r="Z24" i="45"/>
  <c r="AA6" i="48"/>
  <c r="W17" i="45"/>
  <c r="V19" i="45"/>
  <c r="Y48" i="45"/>
  <c r="V12" i="46"/>
  <c r="Y44" i="45"/>
  <c r="V9" i="46"/>
  <c r="X20" i="45"/>
  <c r="W23" i="45"/>
  <c r="Z6" i="25"/>
  <c r="G25" i="20"/>
  <c r="E15" i="15"/>
  <c r="U20" i="17"/>
  <c r="T23" i="17"/>
  <c r="T17" i="17"/>
  <c r="S19" i="17"/>
  <c r="V44" i="17"/>
  <c r="S9" i="20"/>
  <c r="V24" i="17"/>
  <c r="G26" i="20"/>
  <c r="G13" i="20"/>
  <c r="Y12" i="20"/>
  <c r="AB48" i="17"/>
  <c r="T31" i="17"/>
  <c r="P32" i="17"/>
  <c r="O33" i="17"/>
  <c r="R32" i="45" l="1"/>
  <c r="Q33" i="45"/>
  <c r="Y6" i="49"/>
  <c r="Z48" i="45"/>
  <c r="W12" i="46"/>
  <c r="Y20" i="45"/>
  <c r="X23" i="45"/>
  <c r="X17" i="45"/>
  <c r="W19" i="45"/>
  <c r="AA24" i="45"/>
  <c r="W9" i="46"/>
  <c r="Z44" i="45"/>
  <c r="AA6" i="25"/>
  <c r="T9" i="20"/>
  <c r="W44" i="17"/>
  <c r="Q32" i="17"/>
  <c r="P33" i="17"/>
  <c r="C16" i="15"/>
  <c r="U31" i="17"/>
  <c r="Z12" i="20"/>
  <c r="AC48" i="17"/>
  <c r="U17" i="17"/>
  <c r="T19" i="17"/>
  <c r="W24" i="17"/>
  <c r="U23" i="17"/>
  <c r="V20" i="17"/>
  <c r="S32" i="45" l="1"/>
  <c r="R33" i="45"/>
  <c r="Y23" i="45"/>
  <c r="Z20" i="45"/>
  <c r="X12" i="46"/>
  <c r="AA48" i="45"/>
  <c r="Z6" i="49"/>
  <c r="AB24" i="45"/>
  <c r="X9" i="46"/>
  <c r="AA44" i="45"/>
  <c r="Y17" i="45"/>
  <c r="X19" i="45"/>
  <c r="V23" i="17"/>
  <c r="W20" i="17"/>
  <c r="R32" i="17"/>
  <c r="Q33" i="17"/>
  <c r="J49" i="17"/>
  <c r="D16" i="15"/>
  <c r="X24" i="17"/>
  <c r="AA12" i="20"/>
  <c r="AD48" i="17"/>
  <c r="V31" i="17"/>
  <c r="U19" i="17"/>
  <c r="V17" i="17"/>
  <c r="X44" i="17"/>
  <c r="U9" i="20"/>
  <c r="T32" i="45" l="1"/>
  <c r="S33" i="45"/>
  <c r="Y19" i="45"/>
  <c r="Z17" i="45"/>
  <c r="AB48" i="45"/>
  <c r="Y12" i="46"/>
  <c r="Y9" i="46"/>
  <c r="AB44" i="45"/>
  <c r="AC24" i="45"/>
  <c r="AA20" i="45"/>
  <c r="Z23" i="45"/>
  <c r="AA6" i="49"/>
  <c r="W31" i="17"/>
  <c r="S32" i="17"/>
  <c r="R33" i="17"/>
  <c r="Y24" i="17"/>
  <c r="X20" i="17"/>
  <c r="W23" i="17"/>
  <c r="AB12" i="20"/>
  <c r="AC12" i="20" s="1"/>
  <c r="AE48" i="17"/>
  <c r="W17" i="17"/>
  <c r="V19" i="17"/>
  <c r="V9" i="20"/>
  <c r="Y44" i="17"/>
  <c r="H26" i="20"/>
  <c r="H13" i="20"/>
  <c r="H25" i="20"/>
  <c r="E16" i="15"/>
  <c r="U32" i="45" l="1"/>
  <c r="T33" i="45"/>
  <c r="AC44" i="45"/>
  <c r="Z9" i="46"/>
  <c r="AB20" i="45"/>
  <c r="AA23" i="45"/>
  <c r="AC48" i="45"/>
  <c r="Z12" i="46"/>
  <c r="AA17" i="45"/>
  <c r="Z19" i="45"/>
  <c r="AD24" i="45"/>
  <c r="T32" i="17"/>
  <c r="S33" i="17"/>
  <c r="Y20" i="17"/>
  <c r="X23" i="17"/>
  <c r="Z24" i="17"/>
  <c r="X31" i="17"/>
  <c r="Z44" i="17"/>
  <c r="W9" i="20"/>
  <c r="C17" i="15"/>
  <c r="W19" i="17"/>
  <c r="X17" i="17"/>
  <c r="V32" i="45" l="1"/>
  <c r="U33" i="45"/>
  <c r="AD48" i="45"/>
  <c r="AA12" i="46"/>
  <c r="AE24" i="45"/>
  <c r="AB17" i="45"/>
  <c r="AA19" i="45"/>
  <c r="AB23" i="45"/>
  <c r="AC20" i="45"/>
  <c r="AD44" i="45"/>
  <c r="AA9" i="46"/>
  <c r="AA24" i="17"/>
  <c r="K49" i="17"/>
  <c r="D17" i="15"/>
  <c r="Y17" i="17"/>
  <c r="X19" i="17"/>
  <c r="Y23" i="17"/>
  <c r="Z20" i="17"/>
  <c r="X9" i="20"/>
  <c r="AA44" i="17"/>
  <c r="Y31" i="17"/>
  <c r="U32" i="17"/>
  <c r="T33" i="17"/>
  <c r="W32" i="45" l="1"/>
  <c r="V33" i="45"/>
  <c r="AC23" i="45"/>
  <c r="AD20" i="45"/>
  <c r="AB9" i="46"/>
  <c r="AC9" i="46" s="1"/>
  <c r="AE44" i="45"/>
  <c r="AC17" i="45"/>
  <c r="AB19" i="45"/>
  <c r="AB12" i="46"/>
  <c r="AC12" i="46" s="1"/>
  <c r="AE48" i="45"/>
  <c r="I26" i="20"/>
  <c r="I13" i="20"/>
  <c r="V32" i="17"/>
  <c r="U33" i="17"/>
  <c r="Z31" i="17"/>
  <c r="I25" i="20"/>
  <c r="E17" i="15"/>
  <c r="AB24" i="17"/>
  <c r="Y9" i="20"/>
  <c r="AB44" i="17"/>
  <c r="Z23" i="17"/>
  <c r="AA20" i="17"/>
  <c r="Z17" i="17"/>
  <c r="Y19" i="17"/>
  <c r="X32" i="45" l="1"/>
  <c r="W33" i="45"/>
  <c r="AD23" i="45"/>
  <c r="AE23" i="45" s="1"/>
  <c r="AE20" i="45"/>
  <c r="AD17" i="45"/>
  <c r="AC19" i="45"/>
  <c r="W32" i="17"/>
  <c r="V33" i="17"/>
  <c r="Z9" i="20"/>
  <c r="AC44" i="17"/>
  <c r="C18" i="15"/>
  <c r="AA31" i="17"/>
  <c r="Z19" i="17"/>
  <c r="AA17" i="17"/>
  <c r="AB20" i="17"/>
  <c r="AA23" i="17"/>
  <c r="AC24" i="17"/>
  <c r="Y32" i="45" l="1"/>
  <c r="X33" i="45"/>
  <c r="AD19" i="45"/>
  <c r="AE17" i="45"/>
  <c r="AB31" i="17"/>
  <c r="AD24" i="17"/>
  <c r="AB23" i="17"/>
  <c r="AC20" i="17"/>
  <c r="AA9" i="20"/>
  <c r="AD44" i="17"/>
  <c r="L49" i="17"/>
  <c r="D18" i="15"/>
  <c r="AA19" i="17"/>
  <c r="AB17" i="17"/>
  <c r="X32" i="17"/>
  <c r="W33" i="17"/>
  <c r="Z32" i="45" l="1"/>
  <c r="Y33" i="45"/>
  <c r="AE19" i="45"/>
  <c r="AD20" i="17"/>
  <c r="AC23" i="17"/>
  <c r="Y32" i="17"/>
  <c r="X33" i="17"/>
  <c r="J26" i="20"/>
  <c r="J13" i="20"/>
  <c r="J25" i="20"/>
  <c r="E18" i="15"/>
  <c r="AE24" i="17"/>
  <c r="AB19" i="17"/>
  <c r="AC17" i="17"/>
  <c r="AC31" i="17"/>
  <c r="AB9" i="20"/>
  <c r="AC9" i="20" s="1"/>
  <c r="AE44" i="17"/>
  <c r="AA32" i="45" l="1"/>
  <c r="Z33" i="45"/>
  <c r="Z32" i="17"/>
  <c r="Y33" i="17"/>
  <c r="AD23" i="17"/>
  <c r="AE23" i="17" s="1"/>
  <c r="AE20" i="17"/>
  <c r="AD31" i="17"/>
  <c r="C19" i="15"/>
  <c r="AD17" i="17"/>
  <c r="AC19" i="17"/>
  <c r="AB32" i="45" l="1"/>
  <c r="AA33" i="45"/>
  <c r="AD19" i="17"/>
  <c r="AE17" i="17"/>
  <c r="AE31" i="17"/>
  <c r="M49" i="17"/>
  <c r="D19" i="15"/>
  <c r="AA32" i="17"/>
  <c r="Z33" i="17"/>
  <c r="AC32" i="45" l="1"/>
  <c r="AB33" i="45"/>
  <c r="K26" i="20"/>
  <c r="K13" i="20"/>
  <c r="AB32" i="17"/>
  <c r="AA33" i="17"/>
  <c r="AE19" i="17"/>
  <c r="K25" i="20"/>
  <c r="E19" i="15"/>
  <c r="AD32" i="45" l="1"/>
  <c r="AC33" i="45"/>
  <c r="C20" i="15"/>
  <c r="AC32" i="17"/>
  <c r="AB33" i="17"/>
  <c r="AE32" i="45" l="1"/>
  <c r="AD33" i="45"/>
  <c r="N49" i="17"/>
  <c r="D20" i="15"/>
  <c r="AD32" i="17"/>
  <c r="AC33" i="17"/>
  <c r="AE33" i="45" l="1"/>
  <c r="L13" i="20"/>
  <c r="L26" i="20"/>
  <c r="L25" i="20"/>
  <c r="E20" i="15"/>
  <c r="AE32" i="17"/>
  <c r="AD33" i="17"/>
  <c r="C21" i="15" l="1"/>
  <c r="AE33" i="17"/>
  <c r="O49" i="17" l="1"/>
  <c r="D21" i="15"/>
  <c r="M13" i="20" l="1"/>
  <c r="M26" i="20"/>
  <c r="M25" i="20"/>
  <c r="E21" i="15"/>
  <c r="C22" i="15" l="1"/>
  <c r="P49" i="17" l="1"/>
  <c r="D22" i="15"/>
  <c r="N25" i="20" l="1"/>
  <c r="E22" i="15"/>
  <c r="N13" i="20"/>
  <c r="N26" i="20"/>
  <c r="C23" i="15" l="1"/>
  <c r="Q49" i="17" l="1"/>
  <c r="D23" i="15"/>
  <c r="O25" i="20" l="1"/>
  <c r="E23" i="15"/>
  <c r="O26" i="20"/>
  <c r="O13" i="20"/>
  <c r="C24" i="15" l="1"/>
  <c r="R49" i="17" l="1"/>
  <c r="D24" i="15"/>
  <c r="P13" i="20" l="1"/>
  <c r="P26" i="20"/>
  <c r="P25" i="20"/>
  <c r="E24" i="15"/>
  <c r="C25" i="15" l="1"/>
  <c r="S49" i="17" l="1"/>
  <c r="D25" i="15"/>
  <c r="Q25" i="20" l="1"/>
  <c r="E25" i="15"/>
  <c r="Q26" i="20"/>
  <c r="Q13" i="20"/>
  <c r="C26" i="15" l="1"/>
  <c r="T49" i="17" l="1"/>
  <c r="D26" i="15"/>
  <c r="C9" i="15"/>
  <c r="R25" i="20" l="1"/>
  <c r="D9" i="15"/>
  <c r="E26" i="15"/>
  <c r="R26" i="20"/>
  <c r="AC26" i="20" s="1"/>
  <c r="R13" i="20"/>
  <c r="AC13" i="20" s="1"/>
  <c r="AE49" i="17"/>
  <c r="AC25" i="20" l="1"/>
  <c r="F3" i="11" l="1"/>
  <c r="F4" i="11"/>
  <c r="B21" i="11"/>
  <c r="B22" i="11"/>
  <c r="B4" i="11"/>
  <c r="B5" i="11"/>
  <c r="B6" i="11"/>
  <c r="B7" i="11"/>
  <c r="B8" i="11"/>
  <c r="B9" i="11"/>
  <c r="B10" i="11"/>
  <c r="B11" i="11"/>
  <c r="B3" i="11"/>
  <c r="A22" i="11"/>
  <c r="A21" i="11"/>
  <c r="A20" i="11"/>
  <c r="A14" i="11"/>
  <c r="C11" i="11"/>
  <c r="A11" i="11"/>
  <c r="C10" i="11"/>
  <c r="A10" i="11"/>
  <c r="E9" i="11"/>
  <c r="C9" i="11"/>
  <c r="A9" i="11"/>
  <c r="C8" i="11"/>
  <c r="A8" i="11"/>
  <c r="C7" i="11"/>
  <c r="A7" i="11"/>
  <c r="E6" i="11"/>
  <c r="C6" i="11"/>
  <c r="A6" i="11"/>
  <c r="C5" i="11"/>
  <c r="A5" i="11"/>
  <c r="E4" i="11"/>
  <c r="C4" i="11"/>
  <c r="A4" i="11"/>
  <c r="E3" i="11"/>
  <c r="C3" i="11"/>
  <c r="A3" i="11"/>
  <c r="F2" i="11"/>
  <c r="E2" i="11"/>
  <c r="C2" i="11"/>
  <c r="B2" i="11"/>
  <c r="A2" i="11"/>
  <c r="D72" i="10"/>
  <c r="C72" i="10"/>
  <c r="D75" i="18" s="1"/>
  <c r="F75" i="18" s="1"/>
  <c r="F68" i="10"/>
  <c r="F67" i="10"/>
  <c r="F66" i="10"/>
  <c r="F65" i="10"/>
  <c r="F61" i="10"/>
  <c r="F60" i="10"/>
  <c r="E68" i="10"/>
  <c r="E67" i="10"/>
  <c r="E66" i="10"/>
  <c r="E65" i="10"/>
  <c r="E61" i="10"/>
  <c r="D60" i="10"/>
  <c r="D51" i="10"/>
  <c r="D49" i="10"/>
  <c r="C50" i="10"/>
  <c r="D46" i="10"/>
  <c r="C46" i="10"/>
  <c r="C45" i="10"/>
  <c r="C44" i="10"/>
  <c r="D43" i="10"/>
  <c r="C43" i="10"/>
  <c r="D42" i="10"/>
  <c r="C42" i="10"/>
  <c r="D40" i="10"/>
  <c r="D39" i="10"/>
  <c r="D38" i="10"/>
  <c r="C40" i="10"/>
  <c r="C39" i="10"/>
  <c r="C38" i="10"/>
  <c r="D36" i="10"/>
  <c r="D34" i="10"/>
  <c r="D33" i="10"/>
  <c r="D32" i="10"/>
  <c r="D31" i="10"/>
  <c r="D30" i="10"/>
  <c r="C36" i="10"/>
  <c r="C35" i="10"/>
  <c r="C34" i="10"/>
  <c r="C33" i="10"/>
  <c r="C32" i="10"/>
  <c r="C31" i="10"/>
  <c r="C30" i="10"/>
  <c r="C28" i="10"/>
  <c r="C27" i="10"/>
  <c r="D28" i="10"/>
  <c r="D27" i="10"/>
  <c r="D25" i="10"/>
  <c r="D18" i="10"/>
  <c r="D16" i="10"/>
  <c r="C18" i="10"/>
  <c r="C17" i="10"/>
  <c r="C16" i="10"/>
  <c r="D10" i="10"/>
  <c r="D9" i="10"/>
  <c r="D8" i="10"/>
  <c r="D7" i="10"/>
  <c r="C10" i="10"/>
  <c r="C9" i="10"/>
  <c r="C8" i="10"/>
  <c r="C7" i="10"/>
  <c r="C6" i="10"/>
  <c r="C5" i="10"/>
  <c r="B72" i="10"/>
  <c r="D71" i="10"/>
  <c r="C71" i="10"/>
  <c r="B68" i="10"/>
  <c r="B67" i="10"/>
  <c r="B66" i="10"/>
  <c r="B65" i="10"/>
  <c r="B61" i="10"/>
  <c r="B60" i="10"/>
  <c r="G59" i="10"/>
  <c r="F59" i="10"/>
  <c r="E59" i="10"/>
  <c r="D59" i="10"/>
  <c r="C59" i="10"/>
  <c r="B59" i="10"/>
  <c r="B56" i="10"/>
  <c r="B53" i="10"/>
  <c r="B51" i="10"/>
  <c r="B50" i="10"/>
  <c r="B49" i="10"/>
  <c r="D48" i="10"/>
  <c r="C48" i="10"/>
  <c r="B48" i="10"/>
  <c r="B46" i="10"/>
  <c r="B45" i="10"/>
  <c r="B44" i="10"/>
  <c r="B43" i="10"/>
  <c r="B42" i="10"/>
  <c r="F41" i="10"/>
  <c r="B41" i="10"/>
  <c r="B40" i="10"/>
  <c r="B39" i="10"/>
  <c r="B38" i="10"/>
  <c r="B37" i="10"/>
  <c r="B36" i="10"/>
  <c r="B35" i="10"/>
  <c r="B34" i="10"/>
  <c r="B33" i="10"/>
  <c r="B32" i="10"/>
  <c r="B31" i="10"/>
  <c r="B30" i="10"/>
  <c r="B29" i="10"/>
  <c r="B28" i="10"/>
  <c r="B27" i="10"/>
  <c r="B26" i="10"/>
  <c r="B25" i="10"/>
  <c r="D24" i="10"/>
  <c r="C24" i="10"/>
  <c r="B24" i="10"/>
  <c r="B18" i="10"/>
  <c r="B17" i="10"/>
  <c r="F16" i="10"/>
  <c r="B16" i="10"/>
  <c r="D15" i="10"/>
  <c r="C15" i="10"/>
  <c r="B15" i="10"/>
  <c r="B10" i="10"/>
  <c r="B9" i="10"/>
  <c r="B8" i="10"/>
  <c r="B7" i="10"/>
  <c r="B6" i="10"/>
  <c r="B5" i="10"/>
  <c r="F4" i="10"/>
  <c r="B4" i="10"/>
  <c r="D3" i="10"/>
  <c r="C3" i="10"/>
  <c r="B3" i="10"/>
  <c r="E64" i="10"/>
  <c r="F67" i="18" s="1"/>
  <c r="H67" i="18" s="1"/>
  <c r="E63" i="10"/>
  <c r="F66" i="18" s="1"/>
  <c r="E40" i="9"/>
  <c r="B40" i="9"/>
  <c r="I32" i="9"/>
  <c r="I31" i="9"/>
  <c r="I28" i="9"/>
  <c r="I27" i="9"/>
  <c r="I26" i="9"/>
  <c r="I25" i="9"/>
  <c r="I24" i="9"/>
  <c r="F31" i="9"/>
  <c r="F30" i="9"/>
  <c r="F27" i="9"/>
  <c r="F24" i="9"/>
  <c r="C30" i="9"/>
  <c r="C29" i="9"/>
  <c r="C28" i="9"/>
  <c r="C27" i="9"/>
  <c r="C25" i="9"/>
  <c r="C21" i="9"/>
  <c r="C22" i="9"/>
  <c r="C23" i="9"/>
  <c r="I20" i="9"/>
  <c r="I19" i="9"/>
  <c r="I16" i="9"/>
  <c r="I13" i="9"/>
  <c r="I11" i="9"/>
  <c r="F13" i="9"/>
  <c r="F14" i="9"/>
  <c r="F15" i="9"/>
  <c r="F16" i="9"/>
  <c r="F18" i="9"/>
  <c r="F19" i="9"/>
  <c r="F20" i="9"/>
  <c r="F11" i="9"/>
  <c r="I6" i="9"/>
  <c r="I5" i="9"/>
  <c r="F8" i="9"/>
  <c r="F7" i="9"/>
  <c r="C16" i="9"/>
  <c r="C12" i="9"/>
  <c r="C13" i="9"/>
  <c r="C14" i="9"/>
  <c r="C11" i="9"/>
  <c r="C8" i="9"/>
  <c r="C7" i="9"/>
  <c r="B5" i="9"/>
  <c r="C2" i="9"/>
  <c r="E3" i="6"/>
  <c r="C2" i="2" s="1"/>
  <c r="B45" i="9"/>
  <c r="B44" i="9"/>
  <c r="C43" i="9"/>
  <c r="B43" i="9"/>
  <c r="E39" i="9"/>
  <c r="B39" i="9"/>
  <c r="E36" i="9"/>
  <c r="B36" i="9"/>
  <c r="B33" i="9"/>
  <c r="H32" i="9"/>
  <c r="E32" i="9"/>
  <c r="B32" i="9"/>
  <c r="H31" i="9"/>
  <c r="E31" i="9"/>
  <c r="I30" i="9"/>
  <c r="H30" i="9"/>
  <c r="E30" i="9"/>
  <c r="B30" i="9"/>
  <c r="E29" i="9"/>
  <c r="B29" i="9"/>
  <c r="H28" i="9"/>
  <c r="B28" i="9"/>
  <c r="H27" i="9"/>
  <c r="E27" i="9"/>
  <c r="B27" i="9"/>
  <c r="H26" i="9"/>
  <c r="F26" i="9"/>
  <c r="E26" i="9"/>
  <c r="B26" i="9"/>
  <c r="H25" i="9"/>
  <c r="B25" i="9"/>
  <c r="H24" i="9"/>
  <c r="E24" i="9"/>
  <c r="B24" i="9"/>
  <c r="I23" i="9"/>
  <c r="H23" i="9"/>
  <c r="E23" i="9"/>
  <c r="B23" i="9"/>
  <c r="E22" i="9"/>
  <c r="B22" i="9"/>
  <c r="B21" i="9"/>
  <c r="H20" i="9"/>
  <c r="E20" i="9"/>
  <c r="B20" i="9"/>
  <c r="H19" i="9"/>
  <c r="E19" i="9"/>
  <c r="B19" i="9"/>
  <c r="H18" i="9"/>
  <c r="E18" i="9"/>
  <c r="H16" i="9"/>
  <c r="E16" i="9"/>
  <c r="B16" i="9"/>
  <c r="H15" i="9"/>
  <c r="E15" i="9"/>
  <c r="B15" i="9"/>
  <c r="H14" i="9"/>
  <c r="E14" i="9"/>
  <c r="B14" i="9"/>
  <c r="H13" i="9"/>
  <c r="E13" i="9"/>
  <c r="B13" i="9"/>
  <c r="H12" i="9"/>
  <c r="B12" i="9"/>
  <c r="H11" i="9"/>
  <c r="E11" i="9"/>
  <c r="B11" i="9"/>
  <c r="H10" i="9"/>
  <c r="E10" i="9"/>
  <c r="B10" i="9"/>
  <c r="E8" i="9"/>
  <c r="B8" i="9"/>
  <c r="E7" i="9"/>
  <c r="B7" i="9"/>
  <c r="H6" i="9"/>
  <c r="E6" i="9"/>
  <c r="B6" i="9"/>
  <c r="H5" i="9"/>
  <c r="E5" i="9"/>
  <c r="H4" i="9"/>
  <c r="E4" i="9"/>
  <c r="B3" i="9"/>
  <c r="D39" i="17" l="1"/>
  <c r="F39" i="17" s="1"/>
  <c r="D39" i="45"/>
  <c r="F39" i="45" s="1"/>
  <c r="H66" i="18"/>
  <c r="H68" i="18" s="1"/>
  <c r="F68" i="18"/>
  <c r="E192" i="6"/>
  <c r="E191" i="6"/>
  <c r="E190" i="6"/>
  <c r="AZ5" i="8"/>
  <c r="AZ4" i="8"/>
  <c r="AZ3" i="8"/>
  <c r="E189" i="6"/>
  <c r="E188" i="6"/>
  <c r="E9" i="5"/>
  <c r="G39" i="45" l="1"/>
  <c r="G39" i="17"/>
  <c r="E10" i="11"/>
  <c r="E14" i="27" s="1"/>
  <c r="C14" i="28" s="1"/>
  <c r="C18" i="29" s="1"/>
  <c r="F2" i="5"/>
  <c r="E6" i="5"/>
  <c r="A20" i="5"/>
  <c r="A21" i="5"/>
  <c r="A22" i="5"/>
  <c r="E183" i="6"/>
  <c r="E158" i="6"/>
  <c r="E159" i="6"/>
  <c r="E160" i="6"/>
  <c r="AV5" i="8"/>
  <c r="AV4" i="8"/>
  <c r="AV3" i="8"/>
  <c r="C45" i="2" a="1"/>
  <c r="C45" i="2" s="1"/>
  <c r="C44" i="2" a="1"/>
  <c r="C44" i="2" s="1"/>
  <c r="E182" i="6"/>
  <c r="E181" i="6"/>
  <c r="E180" i="6"/>
  <c r="E179" i="6"/>
  <c r="E178" i="6"/>
  <c r="E177" i="6"/>
  <c r="E176" i="6"/>
  <c r="E175" i="6"/>
  <c r="E174" i="6"/>
  <c r="E173" i="6"/>
  <c r="E172" i="6"/>
  <c r="E171" i="6"/>
  <c r="E170" i="6"/>
  <c r="E169" i="6"/>
  <c r="E168" i="6"/>
  <c r="E167" i="6"/>
  <c r="E166" i="6"/>
  <c r="B72" i="3" s="1"/>
  <c r="E165" i="6"/>
  <c r="G59" i="3" s="1"/>
  <c r="E164" i="6"/>
  <c r="F59" i="3" s="1"/>
  <c r="E163" i="6"/>
  <c r="E59" i="3" s="1"/>
  <c r="E162" i="6"/>
  <c r="D59" i="3" s="1"/>
  <c r="E161" i="6"/>
  <c r="C59" i="3" s="1"/>
  <c r="E157" i="6"/>
  <c r="B45" i="2" s="1"/>
  <c r="E156" i="6"/>
  <c r="B44" i="2" s="1"/>
  <c r="E155" i="6"/>
  <c r="C43" i="2" s="1"/>
  <c r="E154" i="6"/>
  <c r="B43" i="2" s="1"/>
  <c r="E153" i="6"/>
  <c r="B68" i="3" s="1"/>
  <c r="E152" i="6"/>
  <c r="B67" i="3" s="1"/>
  <c r="E151" i="6"/>
  <c r="B66" i="3" s="1"/>
  <c r="E150" i="6"/>
  <c r="B65" i="3" s="1"/>
  <c r="E149" i="6"/>
  <c r="B61" i="3" s="1"/>
  <c r="E148" i="6"/>
  <c r="B60" i="3" s="1"/>
  <c r="E147" i="6"/>
  <c r="B59" i="3" s="1"/>
  <c r="E146" i="6"/>
  <c r="B56" i="3" s="1"/>
  <c r="E145" i="6"/>
  <c r="B53" i="3" s="1"/>
  <c r="E144" i="6"/>
  <c r="D48" i="3" s="1"/>
  <c r="E143" i="6"/>
  <c r="C48" i="3" s="1"/>
  <c r="E142" i="6"/>
  <c r="B51" i="3" s="1"/>
  <c r="E141" i="6"/>
  <c r="B50" i="3" s="1"/>
  <c r="E140" i="6"/>
  <c r="B49" i="3" s="1"/>
  <c r="E136" i="6"/>
  <c r="AH3" i="8" s="1"/>
  <c r="E139" i="6"/>
  <c r="B48" i="3" s="1"/>
  <c r="E138" i="6"/>
  <c r="E39" i="2" s="1"/>
  <c r="E137" i="6"/>
  <c r="B39" i="2" s="1"/>
  <c r="E135" i="6"/>
  <c r="AH4" i="8" s="1"/>
  <c r="E134" i="6"/>
  <c r="E36" i="2" s="1"/>
  <c r="E133" i="6"/>
  <c r="B36" i="2" s="1"/>
  <c r="E132" i="6"/>
  <c r="B33" i="2" s="1"/>
  <c r="E131" i="6"/>
  <c r="B32" i="2" s="1"/>
  <c r="E130" i="6"/>
  <c r="H32" i="2" s="1"/>
  <c r="E129" i="6"/>
  <c r="H31" i="2" s="1"/>
  <c r="E128" i="6"/>
  <c r="I30" i="2" s="1"/>
  <c r="E127" i="6"/>
  <c r="H30" i="2" s="1"/>
  <c r="E126" i="6"/>
  <c r="F41" i="3" s="1"/>
  <c r="E122" i="6"/>
  <c r="B43" i="3" s="1"/>
  <c r="E121" i="6"/>
  <c r="B42" i="3" s="1"/>
  <c r="E120" i="6"/>
  <c r="B41" i="3" s="1"/>
  <c r="E119" i="6"/>
  <c r="B40" i="3" s="1"/>
  <c r="E118" i="6"/>
  <c r="B39" i="3" s="1"/>
  <c r="E117" i="6"/>
  <c r="B38" i="3" s="1"/>
  <c r="E116" i="6"/>
  <c r="B37" i="3" s="1"/>
  <c r="E115" i="6"/>
  <c r="B36" i="3" s="1"/>
  <c r="E114" i="6"/>
  <c r="B35" i="3" s="1"/>
  <c r="E113" i="6"/>
  <c r="B34" i="3" s="1"/>
  <c r="E123" i="6"/>
  <c r="B44" i="3" s="1"/>
  <c r="E124" i="6"/>
  <c r="B45" i="3" s="1"/>
  <c r="E125" i="6"/>
  <c r="B46" i="3" s="1"/>
  <c r="E112" i="6"/>
  <c r="H28" i="2" s="1"/>
  <c r="E111" i="6"/>
  <c r="H27" i="2" s="1"/>
  <c r="E110" i="6"/>
  <c r="H26" i="2" s="1"/>
  <c r="E109" i="6"/>
  <c r="H25" i="2" s="1"/>
  <c r="E108" i="6"/>
  <c r="H24" i="2" s="1"/>
  <c r="E107" i="6"/>
  <c r="I23" i="2" s="1"/>
  <c r="E106" i="6"/>
  <c r="H23" i="2" s="1"/>
  <c r="E104" i="6"/>
  <c r="B32" i="3" s="1"/>
  <c r="E103" i="6"/>
  <c r="B31" i="3" s="1"/>
  <c r="E102" i="6"/>
  <c r="B30" i="3" s="1"/>
  <c r="E101" i="6"/>
  <c r="B29" i="3" s="1"/>
  <c r="E100" i="6"/>
  <c r="B28" i="3" s="1"/>
  <c r="E99" i="6"/>
  <c r="B27" i="3" s="1"/>
  <c r="E98" i="6"/>
  <c r="B26" i="3" s="1"/>
  <c r="E105" i="6"/>
  <c r="B33" i="3" s="1"/>
  <c r="E97" i="6"/>
  <c r="B25" i="3" s="1"/>
  <c r="E96" i="6"/>
  <c r="B24" i="3" s="1"/>
  <c r="D15" i="3"/>
  <c r="E94" i="6"/>
  <c r="B30" i="2" s="1"/>
  <c r="E93" i="6"/>
  <c r="B29" i="2" s="1"/>
  <c r="E92" i="6"/>
  <c r="B28" i="2" s="1"/>
  <c r="E91" i="6"/>
  <c r="B27" i="2" s="1"/>
  <c r="E90" i="6"/>
  <c r="B26" i="2" s="1"/>
  <c r="E89" i="6"/>
  <c r="B25" i="2" s="1"/>
  <c r="E88" i="6"/>
  <c r="E87" i="6"/>
  <c r="V3" i="8"/>
  <c r="V4" i="8"/>
  <c r="E82" i="6"/>
  <c r="B18" i="3" s="1"/>
  <c r="E81" i="6"/>
  <c r="B17" i="3" s="1"/>
  <c r="E80" i="6"/>
  <c r="B16" i="3" s="1"/>
  <c r="E79" i="6"/>
  <c r="B15" i="3" s="1"/>
  <c r="E83" i="6"/>
  <c r="B21" i="2" s="1"/>
  <c r="E86" i="6"/>
  <c r="B24" i="2" s="1"/>
  <c r="E85" i="6"/>
  <c r="B23" i="2" s="1"/>
  <c r="E84" i="6"/>
  <c r="B22" i="2" s="1"/>
  <c r="E78" i="6"/>
  <c r="B20" i="2" s="1"/>
  <c r="E77" i="6"/>
  <c r="B19" i="2" s="1"/>
  <c r="E76" i="6"/>
  <c r="B10" i="3" s="1"/>
  <c r="E75" i="6"/>
  <c r="B9" i="3" s="1"/>
  <c r="E74" i="6"/>
  <c r="B8" i="3" s="1"/>
  <c r="E73" i="6"/>
  <c r="B7" i="3" s="1"/>
  <c r="E72" i="6"/>
  <c r="B6" i="3" s="1"/>
  <c r="E71" i="6"/>
  <c r="E32" i="2" s="1"/>
  <c r="E69" i="6"/>
  <c r="E30" i="2" s="1"/>
  <c r="E70" i="6"/>
  <c r="E31" i="2" s="1"/>
  <c r="E68" i="6"/>
  <c r="E29" i="2" s="1"/>
  <c r="E67" i="6"/>
  <c r="E27" i="2" s="1"/>
  <c r="E66" i="6"/>
  <c r="F26" i="2" s="1"/>
  <c r="E65" i="6"/>
  <c r="E26" i="2" s="1"/>
  <c r="E2" i="6"/>
  <c r="E4" i="6"/>
  <c r="E5" i="6"/>
  <c r="E6" i="6"/>
  <c r="E7"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16" i="2" s="1"/>
  <c r="E37" i="6"/>
  <c r="E38" i="6"/>
  <c r="E39" i="6"/>
  <c r="E40" i="6"/>
  <c r="E41" i="6"/>
  <c r="E42" i="6"/>
  <c r="E43" i="6"/>
  <c r="E44" i="6"/>
  <c r="E45" i="6"/>
  <c r="E46" i="6"/>
  <c r="E47" i="6"/>
  <c r="E48" i="6"/>
  <c r="E49" i="6"/>
  <c r="B3" i="3" s="1"/>
  <c r="E50" i="6"/>
  <c r="E51" i="6"/>
  <c r="E52" i="6"/>
  <c r="E53" i="6"/>
  <c r="E54" i="6"/>
  <c r="E55" i="6"/>
  <c r="E57" i="6"/>
  <c r="E58" i="6"/>
  <c r="E59" i="6"/>
  <c r="E60" i="6"/>
  <c r="E61" i="6"/>
  <c r="E62" i="6"/>
  <c r="E22" i="2" s="1"/>
  <c r="E63" i="6"/>
  <c r="E23" i="2" s="1"/>
  <c r="E64" i="6"/>
  <c r="E24" i="2" s="1"/>
  <c r="B5" i="3"/>
  <c r="B4" i="3"/>
  <c r="H20" i="2"/>
  <c r="H19" i="2"/>
  <c r="C3" i="3"/>
  <c r="H18" i="2"/>
  <c r="F16" i="3"/>
  <c r="F4" i="3"/>
  <c r="P5" i="8"/>
  <c r="P4" i="8"/>
  <c r="P3" i="8"/>
  <c r="N4" i="8"/>
  <c r="N3" i="8"/>
  <c r="H39" i="17" l="1"/>
  <c r="G40" i="17"/>
  <c r="G65" i="17" s="1"/>
  <c r="G71" i="17" s="1"/>
  <c r="G73" i="17" s="1"/>
  <c r="H39" i="45"/>
  <c r="G40" i="45"/>
  <c r="G65" i="45" s="1"/>
  <c r="G71" i="45" s="1"/>
  <c r="G73" i="45" s="1"/>
  <c r="F5" i="10"/>
  <c r="F17" i="10"/>
  <c r="A5" i="5"/>
  <c r="A6" i="5"/>
  <c r="A7" i="5"/>
  <c r="A8" i="5"/>
  <c r="A9" i="5"/>
  <c r="A15" i="11"/>
  <c r="A10" i="5"/>
  <c r="A16" i="11"/>
  <c r="A11" i="5"/>
  <c r="A17" i="11"/>
  <c r="B2" i="5"/>
  <c r="C2" i="5"/>
  <c r="E2" i="5"/>
  <c r="D71" i="3"/>
  <c r="D24" i="3"/>
  <c r="D3" i="3"/>
  <c r="C71" i="3"/>
  <c r="C24" i="3"/>
  <c r="C15" i="3"/>
  <c r="AX4" i="8"/>
  <c r="AT4" i="8"/>
  <c r="AR4" i="8"/>
  <c r="AP4" i="8"/>
  <c r="AN4" i="8"/>
  <c r="AL4" i="8"/>
  <c r="AJ4" i="8"/>
  <c r="AF4" i="8"/>
  <c r="AD4" i="8"/>
  <c r="AB4" i="8"/>
  <c r="Z4" i="8"/>
  <c r="X4" i="8"/>
  <c r="T4" i="8"/>
  <c r="R4" i="8"/>
  <c r="AX3" i="8"/>
  <c r="AT3" i="8"/>
  <c r="AR3" i="8"/>
  <c r="AP3" i="8"/>
  <c r="AN3" i="8"/>
  <c r="G65" i="10" s="1"/>
  <c r="AL3" i="8"/>
  <c r="AJ3" i="8"/>
  <c r="AF3" i="8"/>
  <c r="AD3" i="8"/>
  <c r="AB3" i="8"/>
  <c r="Z3" i="8"/>
  <c r="X3" i="8"/>
  <c r="T3" i="8"/>
  <c r="R3" i="8"/>
  <c r="A14" i="5"/>
  <c r="A2" i="5"/>
  <c r="E3" i="5"/>
  <c r="A3" i="5"/>
  <c r="E4" i="5"/>
  <c r="A4" i="5"/>
  <c r="C4" i="5"/>
  <c r="C3" i="5"/>
  <c r="C8" i="5"/>
  <c r="C5" i="5"/>
  <c r="C7" i="5"/>
  <c r="C6" i="5"/>
  <c r="C11" i="5"/>
  <c r="C10" i="5"/>
  <c r="C9" i="5"/>
  <c r="E37" i="9"/>
  <c r="B37" i="9"/>
  <c r="C24" i="9"/>
  <c r="E74" i="13" s="1"/>
  <c r="H16" i="2"/>
  <c r="I15" i="2"/>
  <c r="I15" i="9" s="1"/>
  <c r="H15" i="2"/>
  <c r="L4" i="8"/>
  <c r="L3" i="8"/>
  <c r="H14" i="2"/>
  <c r="H13" i="2"/>
  <c r="H12" i="2"/>
  <c r="J4" i="8"/>
  <c r="J3" i="8"/>
  <c r="H11" i="2"/>
  <c r="H10" i="2"/>
  <c r="E10" i="2"/>
  <c r="E20" i="2"/>
  <c r="E19" i="2"/>
  <c r="E18" i="2"/>
  <c r="E15" i="2"/>
  <c r="E14" i="2"/>
  <c r="E13" i="2"/>
  <c r="E11" i="2"/>
  <c r="B16" i="2"/>
  <c r="B15" i="2"/>
  <c r="H4" i="8"/>
  <c r="H3" i="8"/>
  <c r="B14" i="2"/>
  <c r="B13" i="2"/>
  <c r="B12" i="2"/>
  <c r="B11" i="2"/>
  <c r="B10" i="2"/>
  <c r="H6" i="2"/>
  <c r="H5" i="2"/>
  <c r="H4" i="2"/>
  <c r="G75" i="45" l="1"/>
  <c r="G76" i="45" s="1"/>
  <c r="G11" i="45" s="1"/>
  <c r="G13" i="45" s="1"/>
  <c r="G80" i="45"/>
  <c r="I39" i="45"/>
  <c r="H40" i="45"/>
  <c r="H65" i="45" s="1"/>
  <c r="H71" i="45" s="1"/>
  <c r="H73" i="45" s="1"/>
  <c r="G80" i="17"/>
  <c r="G75" i="17"/>
  <c r="G76" i="17" s="1"/>
  <c r="G11" i="17" s="1"/>
  <c r="I39" i="17"/>
  <c r="H40" i="17"/>
  <c r="H65" i="17" s="1"/>
  <c r="H71" i="17" s="1"/>
  <c r="H73" i="17" s="1"/>
  <c r="C28" i="13"/>
  <c r="C27" i="13"/>
  <c r="F32" i="9"/>
  <c r="B57" i="10"/>
  <c r="B34" i="9"/>
  <c r="I12" i="9"/>
  <c r="G68" i="10"/>
  <c r="G60" i="10"/>
  <c r="I14" i="9"/>
  <c r="F23" i="9"/>
  <c r="G61" i="10"/>
  <c r="I64" i="18" s="1"/>
  <c r="J64" i="18" s="1"/>
  <c r="J68" i="18" s="1"/>
  <c r="H72" i="18" s="1"/>
  <c r="C26" i="9"/>
  <c r="G66" i="10"/>
  <c r="F42" i="10"/>
  <c r="G67" i="10"/>
  <c r="B54" i="10"/>
  <c r="E7" i="11"/>
  <c r="C15" i="9"/>
  <c r="F6" i="8"/>
  <c r="F5" i="8"/>
  <c r="F4" i="8"/>
  <c r="F3" i="8"/>
  <c r="E8" i="2"/>
  <c r="E7" i="2"/>
  <c r="E6" i="2"/>
  <c r="E5" i="2"/>
  <c r="E4" i="2"/>
  <c r="B3" i="2"/>
  <c r="B3" i="8"/>
  <c r="B4" i="8"/>
  <c r="B5" i="8"/>
  <c r="D3" i="8"/>
  <c r="B5" i="2"/>
  <c r="D8" i="46" l="1"/>
  <c r="X8" i="46"/>
  <c r="E8" i="46"/>
  <c r="Y8" i="46"/>
  <c r="AB8" i="46"/>
  <c r="W8" i="46"/>
  <c r="Q8" i="46"/>
  <c r="F8" i="46"/>
  <c r="Z8" i="46"/>
  <c r="E40" i="20"/>
  <c r="G8" i="46"/>
  <c r="H8" i="46"/>
  <c r="P8" i="46"/>
  <c r="T8" i="46"/>
  <c r="AA8" i="46"/>
  <c r="S8" i="46"/>
  <c r="U8" i="46"/>
  <c r="I8" i="46"/>
  <c r="J8" i="46"/>
  <c r="K8" i="46"/>
  <c r="L8" i="46"/>
  <c r="M8" i="46"/>
  <c r="N8" i="46"/>
  <c r="O8" i="46"/>
  <c r="R8" i="46"/>
  <c r="V8" i="46"/>
  <c r="H75" i="17"/>
  <c r="H76" i="17" s="1"/>
  <c r="H11" i="17" s="1"/>
  <c r="H80" i="17"/>
  <c r="J39" i="17"/>
  <c r="I40" i="17"/>
  <c r="I65" i="17" s="1"/>
  <c r="I71" i="17" s="1"/>
  <c r="I73" i="17" s="1"/>
  <c r="G13" i="17"/>
  <c r="C14" i="26"/>
  <c r="C16" i="26" s="1"/>
  <c r="C14" i="25"/>
  <c r="C16" i="25" s="1"/>
  <c r="C14" i="48"/>
  <c r="C16" i="48" s="1"/>
  <c r="C14" i="49"/>
  <c r="C16" i="49" s="1"/>
  <c r="H80" i="45"/>
  <c r="H75" i="45"/>
  <c r="H76" i="45" s="1"/>
  <c r="H11" i="45" s="1"/>
  <c r="H13" i="45" s="1"/>
  <c r="J39" i="45"/>
  <c r="I40" i="45"/>
  <c r="I65" i="45" s="1"/>
  <c r="I71" i="45" s="1"/>
  <c r="I73" i="45" s="1"/>
  <c r="D9" i="47"/>
  <c r="D10" i="47" s="1"/>
  <c r="G62" i="45"/>
  <c r="G64" i="45" s="1"/>
  <c r="G66" i="45" s="1"/>
  <c r="B13" i="19"/>
  <c r="D13" i="19" s="1"/>
  <c r="D53" i="34"/>
  <c r="F53" i="34"/>
  <c r="L53" i="34"/>
  <c r="H53" i="34"/>
  <c r="K53" i="34"/>
  <c r="W53" i="34"/>
  <c r="S53" i="34"/>
  <c r="R53" i="34"/>
  <c r="E53" i="34"/>
  <c r="P53" i="34"/>
  <c r="T53" i="34"/>
  <c r="Z53" i="34"/>
  <c r="G53" i="34"/>
  <c r="Y53" i="34"/>
  <c r="I53" i="34"/>
  <c r="N53" i="34"/>
  <c r="O53" i="34"/>
  <c r="J53" i="34"/>
  <c r="X53" i="34"/>
  <c r="C53" i="34"/>
  <c r="V53" i="34"/>
  <c r="Q53" i="34"/>
  <c r="M53" i="34"/>
  <c r="U53" i="34"/>
  <c r="B53" i="34"/>
  <c r="B14" i="19"/>
  <c r="D14" i="19" s="1"/>
  <c r="L54" i="34"/>
  <c r="F54" i="34"/>
  <c r="D54" i="34"/>
  <c r="H54" i="34"/>
  <c r="K54" i="34"/>
  <c r="Z54" i="34"/>
  <c r="C54" i="34"/>
  <c r="M54" i="34"/>
  <c r="P54" i="34"/>
  <c r="W54" i="34"/>
  <c r="S54" i="34"/>
  <c r="T54" i="34"/>
  <c r="V54" i="34"/>
  <c r="Q54" i="34"/>
  <c r="Y54" i="34"/>
  <c r="G54" i="34"/>
  <c r="R54" i="34"/>
  <c r="E54" i="34"/>
  <c r="O54" i="34"/>
  <c r="X54" i="34"/>
  <c r="N54" i="34"/>
  <c r="I54" i="34"/>
  <c r="J54" i="34"/>
  <c r="U54" i="34"/>
  <c r="B54" i="34"/>
  <c r="D38" i="17"/>
  <c r="D38" i="45"/>
  <c r="D77" i="18"/>
  <c r="C6" i="9"/>
  <c r="C44" i="9" s="1" a="1"/>
  <c r="C44" i="9" s="1"/>
  <c r="F6" i="9"/>
  <c r="B8" i="2"/>
  <c r="B7" i="2"/>
  <c r="B6" i="2"/>
  <c r="Q8" i="20" l="1"/>
  <c r="R8" i="20"/>
  <c r="T8" i="20"/>
  <c r="U8" i="20"/>
  <c r="L8" i="20"/>
  <c r="O8" i="20"/>
  <c r="S8" i="20"/>
  <c r="V8" i="20"/>
  <c r="N8" i="20"/>
  <c r="G8" i="20"/>
  <c r="H8" i="20"/>
  <c r="J8" i="20"/>
  <c r="K8" i="20"/>
  <c r="P8" i="20"/>
  <c r="Y8" i="20"/>
  <c r="AA8" i="20"/>
  <c r="AB8" i="20"/>
  <c r="E8" i="20"/>
  <c r="F8" i="20"/>
  <c r="W8" i="20"/>
  <c r="D8" i="20"/>
  <c r="X8" i="20"/>
  <c r="Z8" i="20"/>
  <c r="M8" i="20"/>
  <c r="I8" i="20"/>
  <c r="AC8" i="46"/>
  <c r="K39" i="45"/>
  <c r="J40" i="45"/>
  <c r="J65" i="45" s="1"/>
  <c r="J71" i="45" s="1"/>
  <c r="J73" i="45" s="1"/>
  <c r="H62" i="45"/>
  <c r="H64" i="45" s="1"/>
  <c r="H66" i="45" s="1"/>
  <c r="E9" i="47"/>
  <c r="E10" i="47" s="1"/>
  <c r="I75" i="17"/>
  <c r="I76" i="17" s="1"/>
  <c r="I11" i="17" s="1"/>
  <c r="I80" i="17"/>
  <c r="K39" i="17"/>
  <c r="J40" i="17"/>
  <c r="J65" i="17" s="1"/>
  <c r="J71" i="17" s="1"/>
  <c r="J73" i="17" s="1"/>
  <c r="I80" i="45"/>
  <c r="I75" i="45"/>
  <c r="I76" i="45" s="1"/>
  <c r="I11" i="45" s="1"/>
  <c r="I13" i="45" s="1"/>
  <c r="G62" i="17"/>
  <c r="G64" i="17" s="1"/>
  <c r="G66" i="17" s="1"/>
  <c r="D9" i="21"/>
  <c r="D10" i="21" s="1"/>
  <c r="H13" i="17"/>
  <c r="D14" i="49"/>
  <c r="D16" i="49" s="1"/>
  <c r="D14" i="26"/>
  <c r="D16" i="26" s="1"/>
  <c r="D14" i="25"/>
  <c r="D16" i="25" s="1"/>
  <c r="D14" i="48"/>
  <c r="D16" i="48" s="1"/>
  <c r="G57" i="34"/>
  <c r="G56" i="34"/>
  <c r="O57" i="34"/>
  <c r="O56" i="34"/>
  <c r="Y56" i="34"/>
  <c r="Y57" i="34"/>
  <c r="Z57" i="34"/>
  <c r="Z56" i="34"/>
  <c r="I56" i="34"/>
  <c r="I57" i="34"/>
  <c r="P57" i="34"/>
  <c r="P56" i="34"/>
  <c r="R57" i="34"/>
  <c r="R56" i="34"/>
  <c r="S56" i="34"/>
  <c r="S57" i="34"/>
  <c r="T57" i="34"/>
  <c r="T56" i="34"/>
  <c r="E57" i="34"/>
  <c r="E56" i="34"/>
  <c r="W56" i="34"/>
  <c r="W57" i="34"/>
  <c r="AA53" i="34"/>
  <c r="B57" i="34"/>
  <c r="B56" i="34"/>
  <c r="H57" i="34"/>
  <c r="H56" i="34"/>
  <c r="C56" i="34"/>
  <c r="C57" i="34"/>
  <c r="N57" i="34"/>
  <c r="N56" i="34"/>
  <c r="AA54" i="34"/>
  <c r="U57" i="34"/>
  <c r="U56" i="34"/>
  <c r="M57" i="34"/>
  <c r="M56" i="34"/>
  <c r="L56" i="34"/>
  <c r="L57" i="34"/>
  <c r="Q56" i="34"/>
  <c r="Q57" i="34"/>
  <c r="F57" i="34"/>
  <c r="F56" i="34"/>
  <c r="X56" i="34"/>
  <c r="X57" i="34"/>
  <c r="D56" i="34"/>
  <c r="D57" i="34"/>
  <c r="C20" i="19"/>
  <c r="B35" i="34"/>
  <c r="K56" i="34"/>
  <c r="K57" i="34"/>
  <c r="V56" i="34"/>
  <c r="V57" i="34"/>
  <c r="J57" i="34"/>
  <c r="J56" i="34"/>
  <c r="C19" i="19"/>
  <c r="B34" i="34"/>
  <c r="F38" i="45"/>
  <c r="D40" i="45"/>
  <c r="F38" i="17"/>
  <c r="D40" i="17"/>
  <c r="C45" i="9" a="1"/>
  <c r="C45" i="9" s="1"/>
  <c r="A2" i="7" a="1"/>
  <c r="A2" i="7" s="1"/>
  <c r="AC8" i="20" l="1"/>
  <c r="J75" i="17"/>
  <c r="J76" i="17" s="1"/>
  <c r="J11" i="17" s="1"/>
  <c r="J80" i="17"/>
  <c r="H62" i="17"/>
  <c r="H64" i="17" s="1"/>
  <c r="H66" i="17" s="1"/>
  <c r="E9" i="21"/>
  <c r="E10" i="21" s="1"/>
  <c r="F9" i="47"/>
  <c r="F10" i="47" s="1"/>
  <c r="I62" i="45"/>
  <c r="I64" i="45" s="1"/>
  <c r="I66" i="45" s="1"/>
  <c r="L39" i="17"/>
  <c r="K40" i="17"/>
  <c r="K65" i="17" s="1"/>
  <c r="K71" i="17" s="1"/>
  <c r="K73" i="17" s="1"/>
  <c r="E14" i="25"/>
  <c r="E16" i="25" s="1"/>
  <c r="E14" i="26"/>
  <c r="E16" i="26" s="1"/>
  <c r="I13" i="17"/>
  <c r="E14" i="48"/>
  <c r="E16" i="48" s="1"/>
  <c r="E14" i="49"/>
  <c r="E16" i="49" s="1"/>
  <c r="J80" i="45"/>
  <c r="J75" i="45"/>
  <c r="J76" i="45" s="1"/>
  <c r="J11" i="45" s="1"/>
  <c r="J13" i="45" s="1"/>
  <c r="L39" i="45"/>
  <c r="K40" i="45"/>
  <c r="K65" i="45" s="1"/>
  <c r="K71" i="45" s="1"/>
  <c r="K73" i="45" s="1"/>
  <c r="AA56" i="34"/>
  <c r="AB54" i="34"/>
  <c r="B11" i="24"/>
  <c r="AB53" i="34"/>
  <c r="AB55" i="34" s="1"/>
  <c r="B36" i="34"/>
  <c r="B10" i="24"/>
  <c r="C21" i="19"/>
  <c r="AE38" i="17"/>
  <c r="F40" i="17"/>
  <c r="AE38" i="45"/>
  <c r="F40" i="45"/>
  <c r="A17" i="5"/>
  <c r="A16" i="5"/>
  <c r="A15" i="5"/>
  <c r="D45" i="3"/>
  <c r="D45" i="10" s="1"/>
  <c r="D44" i="3"/>
  <c r="D44" i="10" s="1"/>
  <c r="C20" i="9"/>
  <c r="C22" i="13" s="1"/>
  <c r="I62" i="17" l="1"/>
  <c r="I64" i="17" s="1"/>
  <c r="I66" i="17" s="1"/>
  <c r="F9" i="21"/>
  <c r="F10" i="21" s="1"/>
  <c r="J62" i="45"/>
  <c r="J64" i="45" s="1"/>
  <c r="J66" i="45" s="1"/>
  <c r="G9" i="47"/>
  <c r="G10" i="47" s="1"/>
  <c r="K80" i="45"/>
  <c r="K75" i="45"/>
  <c r="K76" i="45" s="1"/>
  <c r="K11" i="45" s="1"/>
  <c r="K13" i="45" s="1"/>
  <c r="M39" i="45"/>
  <c r="L40" i="45"/>
  <c r="L65" i="45" s="1"/>
  <c r="L71" i="45" s="1"/>
  <c r="L73" i="45" s="1"/>
  <c r="K80" i="17"/>
  <c r="K75" i="17"/>
  <c r="K76" i="17" s="1"/>
  <c r="K11" i="17" s="1"/>
  <c r="M39" i="17"/>
  <c r="L40" i="17"/>
  <c r="L65" i="17" s="1"/>
  <c r="L71" i="17" s="1"/>
  <c r="L73" i="17" s="1"/>
  <c r="F14" i="49"/>
  <c r="F16" i="49" s="1"/>
  <c r="J13" i="17"/>
  <c r="F14" i="48"/>
  <c r="F16" i="48" s="1"/>
  <c r="F14" i="26"/>
  <c r="F16" i="26" s="1"/>
  <c r="F14" i="25"/>
  <c r="F16" i="25" s="1"/>
  <c r="D33" i="34"/>
  <c r="E33" i="34" s="1"/>
  <c r="D34" i="34"/>
  <c r="B5" i="27"/>
  <c r="D35" i="34"/>
  <c r="B9" i="19"/>
  <c r="D9" i="19" s="1"/>
  <c r="B8" i="19"/>
  <c r="D8" i="19" s="1"/>
  <c r="C3" i="19"/>
  <c r="B7" i="19"/>
  <c r="D7" i="19" s="1"/>
  <c r="B18" i="19" s="1"/>
  <c r="D18" i="19" s="1"/>
  <c r="B26" i="19" s="1"/>
  <c r="D26" i="19" s="1"/>
  <c r="N48" i="34"/>
  <c r="O48" i="34"/>
  <c r="R48" i="34"/>
  <c r="T48" i="34"/>
  <c r="C48" i="34"/>
  <c r="X48" i="34"/>
  <c r="E48" i="34"/>
  <c r="P48" i="34"/>
  <c r="Q48" i="34"/>
  <c r="B48" i="34"/>
  <c r="Y48" i="34"/>
  <c r="Y49" i="34" s="1"/>
  <c r="S48" i="34"/>
  <c r="F48" i="34"/>
  <c r="Z48" i="34"/>
  <c r="Z49" i="34" s="1"/>
  <c r="G48" i="34"/>
  <c r="AA48" i="34"/>
  <c r="W48" i="34"/>
  <c r="H48" i="34"/>
  <c r="I48" i="34"/>
  <c r="H4" i="29"/>
  <c r="I4" i="29" s="1"/>
  <c r="J48" i="34"/>
  <c r="V48" i="34"/>
  <c r="K48" i="34"/>
  <c r="M48" i="34"/>
  <c r="U48" i="34"/>
  <c r="D48" i="34"/>
  <c r="L48" i="34"/>
  <c r="D11" i="24"/>
  <c r="Q28" i="41"/>
  <c r="K28" i="41"/>
  <c r="X28" i="41"/>
  <c r="Y28" i="41"/>
  <c r="N28" i="41"/>
  <c r="V28" i="41"/>
  <c r="P28" i="41"/>
  <c r="B28" i="41"/>
  <c r="M28" i="41"/>
  <c r="D28" i="41"/>
  <c r="O28" i="41"/>
  <c r="L28" i="41"/>
  <c r="F28" i="41"/>
  <c r="R28" i="41"/>
  <c r="U28" i="41"/>
  <c r="T28" i="41"/>
  <c r="W28" i="41"/>
  <c r="G28" i="41"/>
  <c r="Z28" i="41"/>
  <c r="I28" i="41"/>
  <c r="J28" i="41"/>
  <c r="E28" i="41"/>
  <c r="H28" i="41"/>
  <c r="C28" i="41"/>
  <c r="S28" i="41"/>
  <c r="H3" i="29"/>
  <c r="T47" i="34"/>
  <c r="J47" i="34"/>
  <c r="J49" i="34" s="1"/>
  <c r="U47" i="34"/>
  <c r="C47" i="34"/>
  <c r="C49" i="34" s="1"/>
  <c r="W47" i="34"/>
  <c r="D47" i="34"/>
  <c r="D49" i="34" s="1"/>
  <c r="X47" i="34"/>
  <c r="E47" i="34"/>
  <c r="E49" i="34" s="1"/>
  <c r="Z47" i="34"/>
  <c r="B47" i="34"/>
  <c r="V47" i="34"/>
  <c r="V49" i="34" s="1"/>
  <c r="L47" i="34"/>
  <c r="L49" i="34" s="1"/>
  <c r="M47" i="34"/>
  <c r="M49" i="34" s="1"/>
  <c r="P47" i="34"/>
  <c r="P49" i="34" s="1"/>
  <c r="N47" i="34"/>
  <c r="N49" i="34" s="1"/>
  <c r="O47" i="34"/>
  <c r="O49" i="34" s="1"/>
  <c r="F47" i="34"/>
  <c r="F49" i="34" s="1"/>
  <c r="I47" i="34"/>
  <c r="I49" i="34" s="1"/>
  <c r="Q47" i="34"/>
  <c r="S47" i="34"/>
  <c r="Y47" i="34"/>
  <c r="G47" i="34"/>
  <c r="AA47" i="34"/>
  <c r="H47" i="34"/>
  <c r="K47" i="34"/>
  <c r="K49" i="34" s="1"/>
  <c r="R47" i="34"/>
  <c r="R49" i="34" s="1"/>
  <c r="D10" i="24"/>
  <c r="W27" i="41"/>
  <c r="K27" i="41"/>
  <c r="X27" i="41"/>
  <c r="E27" i="41"/>
  <c r="T27" i="41"/>
  <c r="S27" i="41"/>
  <c r="R27" i="41"/>
  <c r="B27" i="41"/>
  <c r="Q27" i="41"/>
  <c r="V27" i="41"/>
  <c r="U27" i="41"/>
  <c r="M27" i="41"/>
  <c r="J27" i="41"/>
  <c r="L27" i="41"/>
  <c r="H27" i="41"/>
  <c r="O27" i="41"/>
  <c r="F27" i="41"/>
  <c r="Z27" i="41"/>
  <c r="I27" i="41"/>
  <c r="D27" i="41"/>
  <c r="N27" i="41"/>
  <c r="G27" i="41"/>
  <c r="C27" i="41"/>
  <c r="Y27" i="41"/>
  <c r="P27" i="41"/>
  <c r="F65" i="45"/>
  <c r="D10" i="46"/>
  <c r="D10" i="20"/>
  <c r="F65" i="17"/>
  <c r="C44" i="13"/>
  <c r="C43" i="13"/>
  <c r="E63" i="3"/>
  <c r="G14" i="49" l="1"/>
  <c r="G16" i="49" s="1"/>
  <c r="G14" i="48"/>
  <c r="G16" i="48" s="1"/>
  <c r="K13" i="17"/>
  <c r="G14" i="25"/>
  <c r="G16" i="25" s="1"/>
  <c r="G14" i="26"/>
  <c r="G16" i="26" s="1"/>
  <c r="G9" i="21"/>
  <c r="G10" i="21" s="1"/>
  <c r="J62" i="17"/>
  <c r="J64" i="17" s="1"/>
  <c r="J66" i="17" s="1"/>
  <c r="N39" i="17"/>
  <c r="M40" i="17"/>
  <c r="L75" i="17"/>
  <c r="L76" i="17" s="1"/>
  <c r="L11" i="17" s="1"/>
  <c r="L80" i="17"/>
  <c r="L75" i="45"/>
  <c r="L76" i="45" s="1"/>
  <c r="L11" i="45" s="1"/>
  <c r="L13" i="45" s="1"/>
  <c r="L80" i="45"/>
  <c r="H9" i="47"/>
  <c r="H10" i="47" s="1"/>
  <c r="K62" i="45"/>
  <c r="K64" i="45" s="1"/>
  <c r="K66" i="45" s="1"/>
  <c r="V29" i="41"/>
  <c r="V35" i="41" s="1"/>
  <c r="V32" i="41" s="1"/>
  <c r="N39" i="45"/>
  <c r="M40" i="45"/>
  <c r="F29" i="41"/>
  <c r="F35" i="41" s="1"/>
  <c r="F32" i="41" s="1"/>
  <c r="X29" i="41"/>
  <c r="X35" i="41" s="1"/>
  <c r="X32" i="41" s="1"/>
  <c r="O29" i="41"/>
  <c r="O35" i="41" s="1"/>
  <c r="O32" i="41" s="1"/>
  <c r="O40" i="41" s="1"/>
  <c r="O5" i="41" s="1"/>
  <c r="O7" i="41" s="1"/>
  <c r="O9" i="41" s="1"/>
  <c r="O13" i="41" s="1"/>
  <c r="O15" i="41" s="1"/>
  <c r="O17" i="41" s="1"/>
  <c r="G29" i="41"/>
  <c r="G35" i="41" s="1"/>
  <c r="G32" i="41" s="1"/>
  <c r="D6" i="45"/>
  <c r="F6" i="45" s="1"/>
  <c r="C9" i="24"/>
  <c r="E9" i="24" s="1"/>
  <c r="D6" i="17"/>
  <c r="F6" i="17" s="1"/>
  <c r="W29" i="41"/>
  <c r="W35" i="41" s="1"/>
  <c r="W32" i="41" s="1"/>
  <c r="B19" i="19"/>
  <c r="D19" i="19" s="1"/>
  <c r="C24" i="29"/>
  <c r="B20" i="19"/>
  <c r="D20" i="19" s="1"/>
  <c r="B28" i="19" s="1"/>
  <c r="D28" i="19" s="1"/>
  <c r="C25" i="29"/>
  <c r="U29" i="41"/>
  <c r="U35" i="41" s="1"/>
  <c r="U32" i="41" s="1"/>
  <c r="U40" i="41" s="1"/>
  <c r="U5" i="41" s="1"/>
  <c r="U7" i="41" s="1"/>
  <c r="U9" i="41" s="1"/>
  <c r="U13" i="41" s="1"/>
  <c r="U15" i="41" s="1"/>
  <c r="U17" i="41" s="1"/>
  <c r="Q29" i="41"/>
  <c r="Q35" i="41" s="1"/>
  <c r="R29" i="41"/>
  <c r="R35" i="41" s="1"/>
  <c r="R32" i="41" s="1"/>
  <c r="S28" i="34"/>
  <c r="S7" i="36" s="1"/>
  <c r="J28" i="34"/>
  <c r="J7" i="36" s="1"/>
  <c r="E28" i="34"/>
  <c r="E7" i="36" s="1"/>
  <c r="Q28" i="34"/>
  <c r="Q7" i="36" s="1"/>
  <c r="F28" i="34"/>
  <c r="F7" i="36" s="1"/>
  <c r="B28" i="34"/>
  <c r="D28" i="34"/>
  <c r="D7" i="36" s="1"/>
  <c r="L28" i="34"/>
  <c r="L7" i="36" s="1"/>
  <c r="R28" i="34"/>
  <c r="R7" i="36" s="1"/>
  <c r="Z28" i="34"/>
  <c r="Z7" i="36" s="1"/>
  <c r="N28" i="34"/>
  <c r="N7" i="36" s="1"/>
  <c r="C28" i="34"/>
  <c r="C7" i="36" s="1"/>
  <c r="G28" i="34"/>
  <c r="G7" i="36" s="1"/>
  <c r="T28" i="34"/>
  <c r="T7" i="36" s="1"/>
  <c r="Y28" i="34"/>
  <c r="Y7" i="36" s="1"/>
  <c r="V28" i="34"/>
  <c r="V7" i="36" s="1"/>
  <c r="X28" i="34"/>
  <c r="X7" i="36" s="1"/>
  <c r="H28" i="34"/>
  <c r="H7" i="36" s="1"/>
  <c r="O28" i="34"/>
  <c r="O7" i="36" s="1"/>
  <c r="P28" i="34"/>
  <c r="P7" i="36" s="1"/>
  <c r="U28" i="34"/>
  <c r="U7" i="36" s="1"/>
  <c r="W28" i="34"/>
  <c r="W7" i="36" s="1"/>
  <c r="M28" i="34"/>
  <c r="M7" i="36" s="1"/>
  <c r="I28" i="34"/>
  <c r="I7" i="36" s="1"/>
  <c r="K28" i="34"/>
  <c r="K7" i="36" s="1"/>
  <c r="E35" i="34"/>
  <c r="C4" i="28"/>
  <c r="L5" i="40"/>
  <c r="L7" i="40" s="1"/>
  <c r="L9" i="40" s="1"/>
  <c r="L13" i="40" s="1"/>
  <c r="L15" i="40" s="1"/>
  <c r="L17" i="40" s="1"/>
  <c r="L5" i="33"/>
  <c r="L7" i="33" s="1"/>
  <c r="L9" i="33" s="1"/>
  <c r="L13" i="33" s="1"/>
  <c r="L15" i="33" s="1"/>
  <c r="L17" i="33" s="1"/>
  <c r="L12" i="37" s="1"/>
  <c r="F5" i="33"/>
  <c r="F7" i="33" s="1"/>
  <c r="F9" i="33" s="1"/>
  <c r="F13" i="33" s="1"/>
  <c r="F15" i="33" s="1"/>
  <c r="F17" i="33" s="1"/>
  <c r="F12" i="37" s="1"/>
  <c r="M5" i="40"/>
  <c r="M7" i="40" s="1"/>
  <c r="M9" i="40" s="1"/>
  <c r="M13" i="40" s="1"/>
  <c r="M15" i="40" s="1"/>
  <c r="M17" i="40" s="1"/>
  <c r="N5" i="40"/>
  <c r="N7" i="40" s="1"/>
  <c r="N9" i="40" s="1"/>
  <c r="N13" i="40" s="1"/>
  <c r="N15" i="40" s="1"/>
  <c r="N17" i="40" s="1"/>
  <c r="F5" i="35"/>
  <c r="F7" i="35" s="1"/>
  <c r="F9" i="35" s="1"/>
  <c r="F13" i="35" s="1"/>
  <c r="F15" i="35" s="1"/>
  <c r="F17" i="35" s="1"/>
  <c r="H5" i="35"/>
  <c r="H7" i="35" s="1"/>
  <c r="H9" i="35" s="1"/>
  <c r="H13" i="35" s="1"/>
  <c r="H15" i="35" s="1"/>
  <c r="H17" i="35" s="1"/>
  <c r="Y5" i="40"/>
  <c r="Y7" i="40" s="1"/>
  <c r="Y9" i="40" s="1"/>
  <c r="Y13" i="40" s="1"/>
  <c r="Y15" i="40" s="1"/>
  <c r="Y17" i="40" s="1"/>
  <c r="H5" i="33"/>
  <c r="H7" i="33" s="1"/>
  <c r="H9" i="33" s="1"/>
  <c r="H13" i="33" s="1"/>
  <c r="H15" i="33" s="1"/>
  <c r="H17" i="33" s="1"/>
  <c r="H12" i="37" s="1"/>
  <c r="O5" i="40"/>
  <c r="O7" i="40" s="1"/>
  <c r="O9" i="40" s="1"/>
  <c r="O13" i="40" s="1"/>
  <c r="O15" i="40" s="1"/>
  <c r="O17" i="40" s="1"/>
  <c r="D5" i="35"/>
  <c r="D7" i="35" s="1"/>
  <c r="D9" i="35" s="1"/>
  <c r="D13" i="35" s="1"/>
  <c r="D15" i="35" s="1"/>
  <c r="D17" i="35" s="1"/>
  <c r="D5" i="33"/>
  <c r="D7" i="33" s="1"/>
  <c r="D9" i="33" s="1"/>
  <c r="D13" i="33" s="1"/>
  <c r="D15" i="33" s="1"/>
  <c r="D17" i="33" s="1"/>
  <c r="D12" i="37" s="1"/>
  <c r="L5" i="35"/>
  <c r="L7" i="35" s="1"/>
  <c r="L9" i="35" s="1"/>
  <c r="L13" i="35" s="1"/>
  <c r="L15" i="35" s="1"/>
  <c r="L17" i="35" s="1"/>
  <c r="D5" i="34"/>
  <c r="D7" i="34" s="1"/>
  <c r="D9" i="34" s="1"/>
  <c r="D13" i="34" s="1"/>
  <c r="D15" i="34" s="1"/>
  <c r="D17" i="34" s="1"/>
  <c r="C5" i="40"/>
  <c r="C7" i="40" s="1"/>
  <c r="C9" i="40" s="1"/>
  <c r="C13" i="40" s="1"/>
  <c r="C15" i="40" s="1"/>
  <c r="C17" i="40" s="1"/>
  <c r="Z5" i="35"/>
  <c r="Z7" i="35" s="1"/>
  <c r="Z9" i="35" s="1"/>
  <c r="Z13" i="35" s="1"/>
  <c r="Z15" i="35" s="1"/>
  <c r="Z17" i="35" s="1"/>
  <c r="L5" i="34"/>
  <c r="L7" i="34" s="1"/>
  <c r="L9" i="34" s="1"/>
  <c r="L13" i="34" s="1"/>
  <c r="L15" i="34" s="1"/>
  <c r="L17" i="34" s="1"/>
  <c r="J5" i="33"/>
  <c r="J7" i="33" s="1"/>
  <c r="J9" i="33" s="1"/>
  <c r="J13" i="33" s="1"/>
  <c r="J15" i="33" s="1"/>
  <c r="J17" i="33" s="1"/>
  <c r="J12" i="37" s="1"/>
  <c r="K5" i="33"/>
  <c r="K7" i="33" s="1"/>
  <c r="K9" i="33" s="1"/>
  <c r="K13" i="33" s="1"/>
  <c r="K15" i="33" s="1"/>
  <c r="K17" i="33" s="1"/>
  <c r="K12" i="37" s="1"/>
  <c r="B5" i="35"/>
  <c r="S5" i="33"/>
  <c r="S7" i="33" s="1"/>
  <c r="S9" i="33" s="1"/>
  <c r="S13" i="33" s="1"/>
  <c r="S15" i="33" s="1"/>
  <c r="S17" i="33" s="1"/>
  <c r="S12" i="37" s="1"/>
  <c r="T5" i="40"/>
  <c r="T7" i="40" s="1"/>
  <c r="T9" i="40" s="1"/>
  <c r="T13" i="40" s="1"/>
  <c r="T15" i="40" s="1"/>
  <c r="T17" i="40" s="1"/>
  <c r="C5" i="33"/>
  <c r="C7" i="33" s="1"/>
  <c r="C9" i="33" s="1"/>
  <c r="C13" i="33" s="1"/>
  <c r="C15" i="33" s="1"/>
  <c r="C17" i="33" s="1"/>
  <c r="C12" i="37" s="1"/>
  <c r="I5" i="40"/>
  <c r="I7" i="40" s="1"/>
  <c r="I9" i="40" s="1"/>
  <c r="I13" i="40" s="1"/>
  <c r="I15" i="40" s="1"/>
  <c r="I17" i="40" s="1"/>
  <c r="P5" i="40"/>
  <c r="P7" i="40" s="1"/>
  <c r="P9" i="40" s="1"/>
  <c r="P13" i="40" s="1"/>
  <c r="P15" i="40" s="1"/>
  <c r="P17" i="40" s="1"/>
  <c r="V5" i="33"/>
  <c r="V7" i="33" s="1"/>
  <c r="V9" i="33" s="1"/>
  <c r="V13" i="33" s="1"/>
  <c r="V15" i="33" s="1"/>
  <c r="V17" i="33" s="1"/>
  <c r="V12" i="37" s="1"/>
  <c r="U5" i="40"/>
  <c r="U7" i="40" s="1"/>
  <c r="U9" i="40" s="1"/>
  <c r="U13" i="40" s="1"/>
  <c r="U15" i="40" s="1"/>
  <c r="U17" i="40" s="1"/>
  <c r="Z5" i="40"/>
  <c r="Z7" i="40" s="1"/>
  <c r="Z9" i="40" s="1"/>
  <c r="Z13" i="40" s="1"/>
  <c r="Z15" i="40" s="1"/>
  <c r="Z17" i="40" s="1"/>
  <c r="H5" i="34"/>
  <c r="H7" i="34" s="1"/>
  <c r="H9" i="34" s="1"/>
  <c r="H13" i="34" s="1"/>
  <c r="H15" i="34" s="1"/>
  <c r="H17" i="34" s="1"/>
  <c r="J5" i="40"/>
  <c r="J7" i="40" s="1"/>
  <c r="J9" i="40" s="1"/>
  <c r="J13" i="40" s="1"/>
  <c r="J15" i="40" s="1"/>
  <c r="J17" i="40" s="1"/>
  <c r="V5" i="40"/>
  <c r="V7" i="40" s="1"/>
  <c r="V9" i="40" s="1"/>
  <c r="V13" i="40" s="1"/>
  <c r="V15" i="40" s="1"/>
  <c r="V17" i="40" s="1"/>
  <c r="B5" i="33"/>
  <c r="P5" i="35"/>
  <c r="P7" i="35" s="1"/>
  <c r="P9" i="35" s="1"/>
  <c r="P13" i="35" s="1"/>
  <c r="P15" i="35" s="1"/>
  <c r="P17" i="35" s="1"/>
  <c r="X5" i="40"/>
  <c r="X7" i="40" s="1"/>
  <c r="X9" i="40" s="1"/>
  <c r="X13" i="40" s="1"/>
  <c r="X15" i="40" s="1"/>
  <c r="X17" i="40" s="1"/>
  <c r="J5" i="35"/>
  <c r="J7" i="35" s="1"/>
  <c r="J9" i="35" s="1"/>
  <c r="J13" i="35" s="1"/>
  <c r="J15" i="35" s="1"/>
  <c r="J17" i="35" s="1"/>
  <c r="S5" i="35"/>
  <c r="S7" i="35" s="1"/>
  <c r="S9" i="35" s="1"/>
  <c r="S13" i="35" s="1"/>
  <c r="S15" i="35" s="1"/>
  <c r="S17" i="35" s="1"/>
  <c r="P5" i="33"/>
  <c r="P7" i="33" s="1"/>
  <c r="P9" i="33" s="1"/>
  <c r="P13" i="33" s="1"/>
  <c r="P15" i="33" s="1"/>
  <c r="P17" i="33" s="1"/>
  <c r="P12" i="37" s="1"/>
  <c r="F5" i="34"/>
  <c r="F7" i="34" s="1"/>
  <c r="F9" i="34" s="1"/>
  <c r="F13" i="34" s="1"/>
  <c r="F15" i="34" s="1"/>
  <c r="F17" i="34" s="1"/>
  <c r="E5" i="33"/>
  <c r="E7" i="33" s="1"/>
  <c r="E9" i="33" s="1"/>
  <c r="E13" i="33" s="1"/>
  <c r="E15" i="33" s="1"/>
  <c r="E17" i="33" s="1"/>
  <c r="E12" i="37" s="1"/>
  <c r="D5" i="40"/>
  <c r="D7" i="40" s="1"/>
  <c r="D9" i="40" s="1"/>
  <c r="D13" i="40" s="1"/>
  <c r="D15" i="40" s="1"/>
  <c r="D17" i="40" s="1"/>
  <c r="E5" i="35"/>
  <c r="E7" i="35" s="1"/>
  <c r="E9" i="35" s="1"/>
  <c r="E13" i="35" s="1"/>
  <c r="E15" i="35" s="1"/>
  <c r="E17" i="35" s="1"/>
  <c r="Q5" i="40"/>
  <c r="Q7" i="40" s="1"/>
  <c r="Q9" i="40" s="1"/>
  <c r="Q13" i="40" s="1"/>
  <c r="Q15" i="40" s="1"/>
  <c r="Q17" i="40" s="1"/>
  <c r="W5" i="40"/>
  <c r="W7" i="40" s="1"/>
  <c r="W9" i="40" s="1"/>
  <c r="W13" i="40" s="1"/>
  <c r="W15" i="40" s="1"/>
  <c r="W17" i="40" s="1"/>
  <c r="G5" i="35"/>
  <c r="G7" i="35" s="1"/>
  <c r="G9" i="35" s="1"/>
  <c r="G13" i="35" s="1"/>
  <c r="G15" i="35" s="1"/>
  <c r="G17" i="35" s="1"/>
  <c r="M5" i="35"/>
  <c r="M7" i="35" s="1"/>
  <c r="M9" i="35" s="1"/>
  <c r="M13" i="35" s="1"/>
  <c r="M15" i="35" s="1"/>
  <c r="M17" i="35" s="1"/>
  <c r="V5" i="35"/>
  <c r="V7" i="35" s="1"/>
  <c r="V9" i="35" s="1"/>
  <c r="V13" i="35" s="1"/>
  <c r="V15" i="35" s="1"/>
  <c r="V17" i="35" s="1"/>
  <c r="S5" i="40"/>
  <c r="S7" i="40" s="1"/>
  <c r="S9" i="40" s="1"/>
  <c r="S13" i="40" s="1"/>
  <c r="S15" i="40" s="1"/>
  <c r="S17" i="40" s="1"/>
  <c r="R5" i="33"/>
  <c r="R7" i="33" s="1"/>
  <c r="R9" i="33" s="1"/>
  <c r="R13" i="33" s="1"/>
  <c r="R15" i="33" s="1"/>
  <c r="R17" i="33" s="1"/>
  <c r="R12" i="37" s="1"/>
  <c r="Q5" i="35"/>
  <c r="Q7" i="35" s="1"/>
  <c r="Q9" i="35" s="1"/>
  <c r="Q13" i="35" s="1"/>
  <c r="Q15" i="35" s="1"/>
  <c r="Q17" i="35" s="1"/>
  <c r="Q5" i="33"/>
  <c r="Q7" i="33" s="1"/>
  <c r="Q9" i="33" s="1"/>
  <c r="Q13" i="33" s="1"/>
  <c r="Q15" i="33" s="1"/>
  <c r="Q17" i="33" s="1"/>
  <c r="Q12" i="37" s="1"/>
  <c r="W5" i="35"/>
  <c r="W7" i="35" s="1"/>
  <c r="W9" i="35" s="1"/>
  <c r="W13" i="35" s="1"/>
  <c r="W15" i="35" s="1"/>
  <c r="W17" i="35" s="1"/>
  <c r="K5" i="40"/>
  <c r="K7" i="40" s="1"/>
  <c r="K9" i="40" s="1"/>
  <c r="K13" i="40" s="1"/>
  <c r="K15" i="40" s="1"/>
  <c r="K17" i="40" s="1"/>
  <c r="Y5" i="35"/>
  <c r="Y7" i="35" s="1"/>
  <c r="Y9" i="35" s="1"/>
  <c r="Y13" i="35" s="1"/>
  <c r="Y15" i="35" s="1"/>
  <c r="Y17" i="35" s="1"/>
  <c r="R5" i="40"/>
  <c r="R7" i="40" s="1"/>
  <c r="R9" i="40" s="1"/>
  <c r="R13" i="40" s="1"/>
  <c r="R15" i="40" s="1"/>
  <c r="R17" i="40" s="1"/>
  <c r="G5" i="33"/>
  <c r="G7" i="33" s="1"/>
  <c r="G9" i="33" s="1"/>
  <c r="G13" i="33" s="1"/>
  <c r="G15" i="33" s="1"/>
  <c r="G17" i="33" s="1"/>
  <c r="G12" i="37" s="1"/>
  <c r="N5" i="35"/>
  <c r="N7" i="35" s="1"/>
  <c r="N9" i="35" s="1"/>
  <c r="N13" i="35" s="1"/>
  <c r="N15" i="35" s="1"/>
  <c r="N17" i="35" s="1"/>
  <c r="C5" i="35"/>
  <c r="C7" i="35" s="1"/>
  <c r="C9" i="35" s="1"/>
  <c r="C13" i="35" s="1"/>
  <c r="C15" i="35" s="1"/>
  <c r="C17" i="35" s="1"/>
  <c r="E5" i="40"/>
  <c r="E7" i="40" s="1"/>
  <c r="E9" i="40" s="1"/>
  <c r="E13" i="40" s="1"/>
  <c r="E15" i="40" s="1"/>
  <c r="E17" i="40" s="1"/>
  <c r="X5" i="35"/>
  <c r="X7" i="35" s="1"/>
  <c r="X9" i="35" s="1"/>
  <c r="X13" i="35" s="1"/>
  <c r="X15" i="35" s="1"/>
  <c r="X17" i="35" s="1"/>
  <c r="X5" i="33"/>
  <c r="X7" i="33" s="1"/>
  <c r="X9" i="33" s="1"/>
  <c r="X13" i="33" s="1"/>
  <c r="X15" i="33" s="1"/>
  <c r="X17" i="33" s="1"/>
  <c r="X12" i="37" s="1"/>
  <c r="N5" i="33"/>
  <c r="N7" i="33" s="1"/>
  <c r="N9" i="33" s="1"/>
  <c r="N13" i="33" s="1"/>
  <c r="N15" i="33" s="1"/>
  <c r="N17" i="33" s="1"/>
  <c r="N12" i="37" s="1"/>
  <c r="B5" i="40"/>
  <c r="R5" i="35"/>
  <c r="R7" i="35" s="1"/>
  <c r="R9" i="35" s="1"/>
  <c r="R13" i="35" s="1"/>
  <c r="Z5" i="33"/>
  <c r="Z7" i="33" s="1"/>
  <c r="Z9" i="33" s="1"/>
  <c r="Z13" i="33" s="1"/>
  <c r="Z15" i="33" s="1"/>
  <c r="Z17" i="33" s="1"/>
  <c r="Z12" i="37" s="1"/>
  <c r="T5" i="33"/>
  <c r="T7" i="33" s="1"/>
  <c r="T9" i="33" s="1"/>
  <c r="T13" i="33" s="1"/>
  <c r="T15" i="33" s="1"/>
  <c r="T17" i="33" s="1"/>
  <c r="T12" i="37" s="1"/>
  <c r="H5" i="40"/>
  <c r="H7" i="40" s="1"/>
  <c r="H9" i="40" s="1"/>
  <c r="H13" i="40" s="1"/>
  <c r="H15" i="40" s="1"/>
  <c r="H17" i="40" s="1"/>
  <c r="U5" i="33"/>
  <c r="U7" i="33" s="1"/>
  <c r="U9" i="33" s="1"/>
  <c r="U13" i="33" s="1"/>
  <c r="U15" i="33" s="1"/>
  <c r="U17" i="33" s="1"/>
  <c r="U12" i="37" s="1"/>
  <c r="M5" i="33"/>
  <c r="M7" i="33" s="1"/>
  <c r="M9" i="33" s="1"/>
  <c r="M13" i="33" s="1"/>
  <c r="M15" i="33" s="1"/>
  <c r="M17" i="33" s="1"/>
  <c r="M12" i="37" s="1"/>
  <c r="O5" i="33"/>
  <c r="O7" i="33" s="1"/>
  <c r="O9" i="33" s="1"/>
  <c r="O13" i="33" s="1"/>
  <c r="O15" i="33" s="1"/>
  <c r="O17" i="33" s="1"/>
  <c r="O12" i="37" s="1"/>
  <c r="Y5" i="33"/>
  <c r="Y7" i="33" s="1"/>
  <c r="Y9" i="33" s="1"/>
  <c r="Y13" i="33" s="1"/>
  <c r="Y15" i="33" s="1"/>
  <c r="Y17" i="33" s="1"/>
  <c r="Y12" i="37" s="1"/>
  <c r="K5" i="35"/>
  <c r="K7" i="35" s="1"/>
  <c r="K9" i="35" s="1"/>
  <c r="K13" i="35" s="1"/>
  <c r="K15" i="35" s="1"/>
  <c r="K17" i="35" s="1"/>
  <c r="U5" i="35"/>
  <c r="U7" i="35" s="1"/>
  <c r="U9" i="35" s="1"/>
  <c r="U13" i="35" s="1"/>
  <c r="U15" i="35" s="1"/>
  <c r="U17" i="35" s="1"/>
  <c r="T5" i="35"/>
  <c r="T7" i="35" s="1"/>
  <c r="T9" i="35" s="1"/>
  <c r="T13" i="35" s="1"/>
  <c r="T15" i="35" s="1"/>
  <c r="T17" i="35" s="1"/>
  <c r="I5" i="33"/>
  <c r="I7" i="33" s="1"/>
  <c r="I9" i="33" s="1"/>
  <c r="I13" i="33" s="1"/>
  <c r="I15" i="33" s="1"/>
  <c r="I17" i="33" s="1"/>
  <c r="I12" i="37" s="1"/>
  <c r="O5" i="35"/>
  <c r="O7" i="35" s="1"/>
  <c r="I5" i="35"/>
  <c r="I7" i="35" s="1"/>
  <c r="I9" i="35" s="1"/>
  <c r="I13" i="35" s="1"/>
  <c r="I15" i="35" s="1"/>
  <c r="I17" i="35" s="1"/>
  <c r="W5" i="33"/>
  <c r="W7" i="33" s="1"/>
  <c r="W9" i="33" s="1"/>
  <c r="W13" i="33" s="1"/>
  <c r="W15" i="33" s="1"/>
  <c r="W17" i="33" s="1"/>
  <c r="W12" i="37" s="1"/>
  <c r="G5" i="40"/>
  <c r="G7" i="40" s="1"/>
  <c r="G9" i="40" s="1"/>
  <c r="G13" i="40" s="1"/>
  <c r="G15" i="40" s="1"/>
  <c r="G17" i="40" s="1"/>
  <c r="F5" i="40"/>
  <c r="F7" i="40" s="1"/>
  <c r="F9" i="40" s="1"/>
  <c r="F13" i="40" s="1"/>
  <c r="F15" i="40" s="1"/>
  <c r="F17" i="40" s="1"/>
  <c r="T5" i="34"/>
  <c r="T7" i="34" s="1"/>
  <c r="T9" i="34" s="1"/>
  <c r="T13" i="34" s="1"/>
  <c r="T15" i="34" s="1"/>
  <c r="T17" i="34" s="1"/>
  <c r="Y5" i="34"/>
  <c r="Y7" i="34" s="1"/>
  <c r="Y9" i="34" s="1"/>
  <c r="Y13" i="34" s="1"/>
  <c r="Y15" i="34" s="1"/>
  <c r="Y17" i="34" s="1"/>
  <c r="W5" i="34"/>
  <c r="W7" i="34" s="1"/>
  <c r="W9" i="34" s="1"/>
  <c r="W13" i="34" s="1"/>
  <c r="W15" i="34" s="1"/>
  <c r="W17" i="34" s="1"/>
  <c r="K5" i="34"/>
  <c r="K7" i="34" s="1"/>
  <c r="K9" i="34" s="1"/>
  <c r="K13" i="34" s="1"/>
  <c r="K15" i="34" s="1"/>
  <c r="K17" i="34" s="1"/>
  <c r="V5" i="34"/>
  <c r="V7" i="34" s="1"/>
  <c r="V9" i="34" s="1"/>
  <c r="V13" i="34" s="1"/>
  <c r="V15" i="34" s="1"/>
  <c r="V17" i="34" s="1"/>
  <c r="S5" i="34"/>
  <c r="S7" i="34" s="1"/>
  <c r="S9" i="34" s="1"/>
  <c r="S13" i="34" s="1"/>
  <c r="S15" i="34" s="1"/>
  <c r="S17" i="34" s="1"/>
  <c r="O5" i="34"/>
  <c r="O7" i="34" s="1"/>
  <c r="O9" i="34" s="1"/>
  <c r="O13" i="34" s="1"/>
  <c r="O15" i="34" s="1"/>
  <c r="O17" i="34" s="1"/>
  <c r="U5" i="34"/>
  <c r="U7" i="34" s="1"/>
  <c r="U9" i="34" s="1"/>
  <c r="U13" i="34" s="1"/>
  <c r="U15" i="34" s="1"/>
  <c r="U17" i="34" s="1"/>
  <c r="G5" i="34"/>
  <c r="G7" i="34" s="1"/>
  <c r="G9" i="34" s="1"/>
  <c r="G13" i="34" s="1"/>
  <c r="G15" i="34" s="1"/>
  <c r="G17" i="34" s="1"/>
  <c r="I5" i="34"/>
  <c r="I7" i="34" s="1"/>
  <c r="I9" i="34" s="1"/>
  <c r="I13" i="34" s="1"/>
  <c r="I15" i="34" s="1"/>
  <c r="I17" i="34" s="1"/>
  <c r="X5" i="34"/>
  <c r="X7" i="34" s="1"/>
  <c r="X9" i="34" s="1"/>
  <c r="X13" i="34" s="1"/>
  <c r="X15" i="34" s="1"/>
  <c r="X17" i="34" s="1"/>
  <c r="R5" i="34"/>
  <c r="R7" i="34" s="1"/>
  <c r="R9" i="34" s="1"/>
  <c r="R13" i="34" s="1"/>
  <c r="R15" i="34" s="1"/>
  <c r="R17" i="34" s="1"/>
  <c r="N5" i="34"/>
  <c r="N7" i="34" s="1"/>
  <c r="N9" i="34" s="1"/>
  <c r="N13" i="34" s="1"/>
  <c r="N15" i="34" s="1"/>
  <c r="N17" i="34" s="1"/>
  <c r="P5" i="34"/>
  <c r="P7" i="34" s="1"/>
  <c r="P9" i="34" s="1"/>
  <c r="P13" i="34" s="1"/>
  <c r="P15" i="34" s="1"/>
  <c r="P17" i="34" s="1"/>
  <c r="B5" i="34"/>
  <c r="J5" i="34"/>
  <c r="J7" i="34" s="1"/>
  <c r="J9" i="34" s="1"/>
  <c r="J13" i="34" s="1"/>
  <c r="J15" i="34" s="1"/>
  <c r="J17" i="34" s="1"/>
  <c r="E5" i="34"/>
  <c r="E7" i="34" s="1"/>
  <c r="E9" i="34" s="1"/>
  <c r="E13" i="34" s="1"/>
  <c r="E15" i="34" s="1"/>
  <c r="E17" i="34" s="1"/>
  <c r="Z5" i="34"/>
  <c r="Z7" i="34" s="1"/>
  <c r="Z9" i="34" s="1"/>
  <c r="Z13" i="34" s="1"/>
  <c r="Z15" i="34" s="1"/>
  <c r="Z17" i="34" s="1"/>
  <c r="Q5" i="34"/>
  <c r="Q7" i="34" s="1"/>
  <c r="Q9" i="34" s="1"/>
  <c r="Q13" i="34" s="1"/>
  <c r="Q15" i="34" s="1"/>
  <c r="Q17" i="34" s="1"/>
  <c r="M5" i="34"/>
  <c r="M7" i="34" s="1"/>
  <c r="M9" i="34" s="1"/>
  <c r="M13" i="34" s="1"/>
  <c r="M15" i="34" s="1"/>
  <c r="M17" i="34" s="1"/>
  <c r="C5" i="34"/>
  <c r="C7" i="34" s="1"/>
  <c r="C9" i="34" s="1"/>
  <c r="C13" i="34" s="1"/>
  <c r="C15" i="34" s="1"/>
  <c r="C17" i="34" s="1"/>
  <c r="T29" i="41"/>
  <c r="T35" i="41" s="1"/>
  <c r="T32" i="41" s="1"/>
  <c r="T40" i="41" s="1"/>
  <c r="T5" i="41" s="1"/>
  <c r="T7" i="41" s="1"/>
  <c r="T9" i="41" s="1"/>
  <c r="T13" i="41" s="1"/>
  <c r="T15" i="41" s="1"/>
  <c r="T17" i="41" s="1"/>
  <c r="Q27" i="34"/>
  <c r="H27" i="34"/>
  <c r="J27" i="34"/>
  <c r="R27" i="34"/>
  <c r="G27" i="34"/>
  <c r="C27" i="34"/>
  <c r="X27" i="34"/>
  <c r="O27" i="34"/>
  <c r="N27" i="34"/>
  <c r="V27" i="34"/>
  <c r="L27" i="34"/>
  <c r="P27" i="34"/>
  <c r="F27" i="34"/>
  <c r="S27" i="34"/>
  <c r="T27" i="34"/>
  <c r="I27" i="34"/>
  <c r="Y27" i="34"/>
  <c r="E27" i="34"/>
  <c r="U27" i="34"/>
  <c r="M27" i="34"/>
  <c r="B27" i="34"/>
  <c r="D27" i="34"/>
  <c r="Z27" i="34"/>
  <c r="W27" i="34"/>
  <c r="K27" i="34"/>
  <c r="E34" i="34"/>
  <c r="L29" i="41"/>
  <c r="L35" i="41" s="1"/>
  <c r="L32" i="41" s="1"/>
  <c r="E29" i="41"/>
  <c r="E35" i="41" s="1"/>
  <c r="B49" i="34"/>
  <c r="K29" i="41"/>
  <c r="K35" i="41" s="1"/>
  <c r="K32" i="41" s="1"/>
  <c r="U49" i="34"/>
  <c r="C29" i="41"/>
  <c r="P29" i="41"/>
  <c r="Q34" i="41"/>
  <c r="Q22" i="41" s="1"/>
  <c r="Q7" i="42" s="1"/>
  <c r="AA28" i="41"/>
  <c r="Y29" i="41"/>
  <c r="T34" i="41"/>
  <c r="T22" i="41" s="1"/>
  <c r="T7" i="42" s="1"/>
  <c r="U34" i="41"/>
  <c r="U22" i="41" s="1"/>
  <c r="U7" i="42" s="1"/>
  <c r="S34" i="41"/>
  <c r="S22" i="41" s="1"/>
  <c r="S7" i="42" s="1"/>
  <c r="D29" i="41"/>
  <c r="R34" i="41"/>
  <c r="R22" i="41" s="1"/>
  <c r="R7" i="42" s="1"/>
  <c r="B29" i="41"/>
  <c r="AA27" i="41"/>
  <c r="N29" i="41"/>
  <c r="N35" i="41" s="1"/>
  <c r="N32" i="41" s="1"/>
  <c r="I29" i="41"/>
  <c r="H49" i="34"/>
  <c r="AA49" i="34"/>
  <c r="T49" i="34"/>
  <c r="F34" i="41"/>
  <c r="F22" i="41" s="1"/>
  <c r="F7" i="42" s="1"/>
  <c r="Z29" i="41"/>
  <c r="W49" i="34"/>
  <c r="G49" i="34"/>
  <c r="J29" i="41"/>
  <c r="S49" i="34"/>
  <c r="H5" i="29"/>
  <c r="H7" i="29" s="1"/>
  <c r="H9" i="29" s="1"/>
  <c r="I3" i="29"/>
  <c r="I5" i="29" s="1"/>
  <c r="I7" i="29" s="1"/>
  <c r="I9" i="29" s="1"/>
  <c r="S29" i="41"/>
  <c r="S35" i="41" s="1"/>
  <c r="S32" i="41" s="1"/>
  <c r="K34" i="41"/>
  <c r="K22" i="41" s="1"/>
  <c r="K7" i="42" s="1"/>
  <c r="X49" i="34"/>
  <c r="H29" i="41"/>
  <c r="C45" i="13"/>
  <c r="M29" i="41"/>
  <c r="Q49" i="34"/>
  <c r="O34" i="41"/>
  <c r="O22" i="41" s="1"/>
  <c r="O7" i="42" s="1"/>
  <c r="F71" i="17"/>
  <c r="E10" i="46"/>
  <c r="F10" i="46" s="1"/>
  <c r="E10" i="20"/>
  <c r="F71" i="45"/>
  <c r="E64" i="3"/>
  <c r="O33" i="41" l="1"/>
  <c r="O38" i="41" s="1"/>
  <c r="O21" i="41" s="1"/>
  <c r="U3" i="42"/>
  <c r="W33" i="41"/>
  <c r="W38" i="41" s="1"/>
  <c r="W21" i="41" s="1"/>
  <c r="O3" i="42"/>
  <c r="U43" i="41"/>
  <c r="U33" i="41"/>
  <c r="U37" i="41" s="1"/>
  <c r="Q32" i="41"/>
  <c r="Q40" i="41" s="1"/>
  <c r="Q5" i="41" s="1"/>
  <c r="Q7" i="41" s="1"/>
  <c r="Q9" i="41" s="1"/>
  <c r="Q13" i="41" s="1"/>
  <c r="Q15" i="41" s="1"/>
  <c r="Q17" i="41" s="1"/>
  <c r="Q3" i="42" s="1"/>
  <c r="Q33" i="41"/>
  <c r="Q38" i="41" s="1"/>
  <c r="Q21" i="41" s="1"/>
  <c r="O39" i="45"/>
  <c r="N40" i="45"/>
  <c r="N65" i="45" s="1"/>
  <c r="N71" i="45" s="1"/>
  <c r="N73" i="45" s="1"/>
  <c r="M65" i="17"/>
  <c r="M65" i="45"/>
  <c r="O39" i="17"/>
  <c r="N40" i="17"/>
  <c r="N65" i="17" s="1"/>
  <c r="N71" i="17" s="1"/>
  <c r="N73" i="17" s="1"/>
  <c r="L13" i="17"/>
  <c r="H14" i="49"/>
  <c r="H16" i="49" s="1"/>
  <c r="H14" i="25"/>
  <c r="H16" i="25" s="1"/>
  <c r="H14" i="26"/>
  <c r="H16" i="26" s="1"/>
  <c r="H14" i="48"/>
  <c r="H16" i="48" s="1"/>
  <c r="R33" i="41"/>
  <c r="R37" i="41" s="1"/>
  <c r="K62" i="17"/>
  <c r="K64" i="17" s="1"/>
  <c r="K66" i="17" s="1"/>
  <c r="H9" i="21"/>
  <c r="H10" i="21" s="1"/>
  <c r="I9" i="47"/>
  <c r="I10" i="47" s="1"/>
  <c r="L62" i="45"/>
  <c r="L64" i="45" s="1"/>
  <c r="L66" i="45" s="1"/>
  <c r="T3" i="42"/>
  <c r="F33" i="41"/>
  <c r="F37" i="41" s="1"/>
  <c r="N33" i="41"/>
  <c r="N37" i="41" s="1"/>
  <c r="S33" i="41"/>
  <c r="S38" i="41" s="1"/>
  <c r="S21" i="41" s="1"/>
  <c r="E32" i="41"/>
  <c r="E40" i="41" s="1"/>
  <c r="E5" i="41" s="1"/>
  <c r="E7" i="41" s="1"/>
  <c r="E9" i="41" s="1"/>
  <c r="E13" i="41" s="1"/>
  <c r="E15" i="41" s="1"/>
  <c r="E17" i="41" s="1"/>
  <c r="E3" i="42" s="1"/>
  <c r="E33" i="41"/>
  <c r="E37" i="41" s="1"/>
  <c r="C19" i="34"/>
  <c r="C3" i="36"/>
  <c r="C4" i="29"/>
  <c r="D4" i="28"/>
  <c r="B7" i="36"/>
  <c r="AA7" i="36" s="1"/>
  <c r="AA28" i="34"/>
  <c r="Y6" i="36"/>
  <c r="Y29" i="34"/>
  <c r="Q3" i="36"/>
  <c r="Q19" i="34"/>
  <c r="F19" i="34"/>
  <c r="F3" i="36"/>
  <c r="AA5" i="35"/>
  <c r="B7" i="35"/>
  <c r="S6" i="36"/>
  <c r="S29" i="34"/>
  <c r="J3" i="36"/>
  <c r="J19" i="34"/>
  <c r="O9" i="35"/>
  <c r="O13" i="35" s="1"/>
  <c r="O15" i="35" s="1"/>
  <c r="O17" i="35" s="1"/>
  <c r="W3" i="36"/>
  <c r="W19" i="34"/>
  <c r="M3" i="36"/>
  <c r="M19" i="34"/>
  <c r="I29" i="34"/>
  <c r="I6" i="36"/>
  <c r="E19" i="34"/>
  <c r="E3" i="36"/>
  <c r="P6" i="36"/>
  <c r="P29" i="34"/>
  <c r="L29" i="34"/>
  <c r="L6" i="36"/>
  <c r="N3" i="36"/>
  <c r="N19" i="34"/>
  <c r="B7" i="33"/>
  <c r="AA5" i="33"/>
  <c r="T19" i="34"/>
  <c r="T3" i="36"/>
  <c r="Z3" i="36"/>
  <c r="Z19" i="34"/>
  <c r="V6" i="36"/>
  <c r="V29" i="34"/>
  <c r="R3" i="36"/>
  <c r="R19" i="34"/>
  <c r="AA27" i="34"/>
  <c r="B29" i="34"/>
  <c r="B6" i="36"/>
  <c r="T29" i="34"/>
  <c r="T6" i="36"/>
  <c r="F29" i="34"/>
  <c r="F6" i="36"/>
  <c r="D19" i="34"/>
  <c r="D3" i="36"/>
  <c r="P3" i="36"/>
  <c r="P19" i="34"/>
  <c r="K33" i="41"/>
  <c r="K38" i="41" s="1"/>
  <c r="K21" i="41" s="1"/>
  <c r="N29" i="34"/>
  <c r="N6" i="36"/>
  <c r="X3" i="36"/>
  <c r="X19" i="34"/>
  <c r="B7" i="40"/>
  <c r="AA5" i="40"/>
  <c r="U29" i="34"/>
  <c r="U6" i="36"/>
  <c r="AA5" i="34"/>
  <c r="B7" i="34"/>
  <c r="I3" i="36"/>
  <c r="I19" i="34"/>
  <c r="H19" i="34"/>
  <c r="H3" i="36"/>
  <c r="D8" i="17"/>
  <c r="F8" i="17" s="1"/>
  <c r="C11" i="24"/>
  <c r="E11" i="24" s="1"/>
  <c r="D8" i="45"/>
  <c r="F8" i="45" s="1"/>
  <c r="Q29" i="34"/>
  <c r="Q6" i="36"/>
  <c r="X29" i="34"/>
  <c r="X6" i="36"/>
  <c r="X33" i="41"/>
  <c r="X37" i="41" s="1"/>
  <c r="R40" i="41"/>
  <c r="R5" i="41" s="1"/>
  <c r="R7" i="41" s="1"/>
  <c r="R9" i="41" s="1"/>
  <c r="R13" i="41" s="1"/>
  <c r="R15" i="41" s="1"/>
  <c r="R17" i="41" s="1"/>
  <c r="R3" i="42" s="1"/>
  <c r="C29" i="34"/>
  <c r="C6" i="36"/>
  <c r="U19" i="34"/>
  <c r="U3" i="36"/>
  <c r="B27" i="19"/>
  <c r="D21" i="19"/>
  <c r="C4" i="19" s="1"/>
  <c r="Y3" i="36"/>
  <c r="Y19" i="34"/>
  <c r="E29" i="34"/>
  <c r="E6" i="36"/>
  <c r="L3" i="36"/>
  <c r="L19" i="34"/>
  <c r="G3" i="36"/>
  <c r="G19" i="34"/>
  <c r="K29" i="34"/>
  <c r="K6" i="36"/>
  <c r="G6" i="36"/>
  <c r="G29" i="34"/>
  <c r="T33" i="41"/>
  <c r="T38" i="41" s="1"/>
  <c r="T21" i="41" s="1"/>
  <c r="W29" i="34"/>
  <c r="W6" i="36"/>
  <c r="R6" i="36"/>
  <c r="R29" i="34"/>
  <c r="S19" i="34"/>
  <c r="S3" i="36"/>
  <c r="B3" i="49"/>
  <c r="B3" i="25"/>
  <c r="B3" i="48"/>
  <c r="B3" i="26"/>
  <c r="C4" i="21"/>
  <c r="G6" i="17"/>
  <c r="V3" i="36"/>
  <c r="V19" i="34"/>
  <c r="M6" i="36"/>
  <c r="M29" i="34"/>
  <c r="O29" i="34"/>
  <c r="O6" i="36"/>
  <c r="O3" i="36"/>
  <c r="O19" i="34"/>
  <c r="Z6" i="36"/>
  <c r="Z29" i="34"/>
  <c r="J6" i="36"/>
  <c r="J29" i="34"/>
  <c r="D6" i="36"/>
  <c r="D29" i="34"/>
  <c r="H6" i="36"/>
  <c r="H29" i="34"/>
  <c r="K19" i="34"/>
  <c r="K3" i="36"/>
  <c r="R15" i="35"/>
  <c r="R17" i="35" s="1"/>
  <c r="G6" i="45"/>
  <c r="C4" i="47"/>
  <c r="G33" i="41"/>
  <c r="G37" i="41" s="1"/>
  <c r="T43" i="41"/>
  <c r="V33" i="41"/>
  <c r="V38" i="41" s="1"/>
  <c r="V21" i="41" s="1"/>
  <c r="L33" i="41"/>
  <c r="L38" i="41" s="1"/>
  <c r="L21" i="41" s="1"/>
  <c r="X40" i="41"/>
  <c r="X5" i="41" s="1"/>
  <c r="X7" i="41" s="1"/>
  <c r="X9" i="41" s="1"/>
  <c r="X13" i="41" s="1"/>
  <c r="X15" i="41" s="1"/>
  <c r="X17" i="41" s="1"/>
  <c r="X3" i="42" s="1"/>
  <c r="W34" i="41"/>
  <c r="W22" i="41" s="1"/>
  <c r="W7" i="42" s="1"/>
  <c r="Z35" i="41"/>
  <c r="Z33" i="41" s="1"/>
  <c r="Z38" i="41" s="1"/>
  <c r="Z21" i="41" s="1"/>
  <c r="D35" i="41"/>
  <c r="D33" i="41" s="1"/>
  <c r="D38" i="41" s="1"/>
  <c r="D21" i="41" s="1"/>
  <c r="L40" i="41"/>
  <c r="L5" i="41" s="1"/>
  <c r="L7" i="41" s="1"/>
  <c r="L9" i="41" s="1"/>
  <c r="L13" i="41" s="1"/>
  <c r="L15" i="41" s="1"/>
  <c r="L17" i="41" s="1"/>
  <c r="L3" i="42" s="1"/>
  <c r="C35" i="41"/>
  <c r="C33" i="41" s="1"/>
  <c r="C38" i="41" s="1"/>
  <c r="C21" i="41" s="1"/>
  <c r="W40" i="41"/>
  <c r="W5" i="41" s="1"/>
  <c r="W7" i="41" s="1"/>
  <c r="W9" i="41" s="1"/>
  <c r="W13" i="41" s="1"/>
  <c r="W15" i="41" s="1"/>
  <c r="W17" i="41" s="1"/>
  <c r="W3" i="42" s="1"/>
  <c r="B35" i="41"/>
  <c r="B33" i="41" s="1"/>
  <c r="AA29" i="41"/>
  <c r="G40" i="41"/>
  <c r="G5" i="41" s="1"/>
  <c r="G7" i="41" s="1"/>
  <c r="G9" i="41" s="1"/>
  <c r="G13" i="41" s="1"/>
  <c r="G15" i="41" s="1"/>
  <c r="G17" i="41" s="1"/>
  <c r="G3" i="42" s="1"/>
  <c r="F40" i="41"/>
  <c r="F5" i="41" s="1"/>
  <c r="F7" i="41" s="1"/>
  <c r="F9" i="41" s="1"/>
  <c r="F13" i="41" s="1"/>
  <c r="F15" i="41" s="1"/>
  <c r="F17" i="41" s="1"/>
  <c r="F3" i="42" s="1"/>
  <c r="V40" i="41"/>
  <c r="V5" i="41" s="1"/>
  <c r="V7" i="41" s="1"/>
  <c r="V9" i="41" s="1"/>
  <c r="V13" i="41" s="1"/>
  <c r="V15" i="41" s="1"/>
  <c r="V17" i="41" s="1"/>
  <c r="V3" i="42" s="1"/>
  <c r="L34" i="41"/>
  <c r="L22" i="41" s="1"/>
  <c r="L7" i="42" s="1"/>
  <c r="I35" i="41"/>
  <c r="I33" i="41" s="1"/>
  <c r="I37" i="41" s="1"/>
  <c r="M35" i="41"/>
  <c r="M33" i="41" s="1"/>
  <c r="M37" i="41" s="1"/>
  <c r="H35" i="41"/>
  <c r="H33" i="41" s="1"/>
  <c r="H37" i="41" s="1"/>
  <c r="V34" i="41"/>
  <c r="V22" i="41" s="1"/>
  <c r="V7" i="42" s="1"/>
  <c r="K40" i="41"/>
  <c r="K5" i="41" s="1"/>
  <c r="K7" i="41" s="1"/>
  <c r="K9" i="41" s="1"/>
  <c r="K13" i="41" s="1"/>
  <c r="K15" i="41" s="1"/>
  <c r="K17" i="41" s="1"/>
  <c r="K3" i="42" s="1"/>
  <c r="P35" i="41"/>
  <c r="P33" i="41" s="1"/>
  <c r="P37" i="41" s="1"/>
  <c r="S40" i="41"/>
  <c r="S5" i="41" s="1"/>
  <c r="S7" i="41" s="1"/>
  <c r="S9" i="41" s="1"/>
  <c r="S13" i="41" s="1"/>
  <c r="S15" i="41" s="1"/>
  <c r="S17" i="41" s="1"/>
  <c r="S3" i="42" s="1"/>
  <c r="H11" i="29"/>
  <c r="H12" i="29"/>
  <c r="H13" i="29"/>
  <c r="Y35" i="41"/>
  <c r="Y33" i="41" s="1"/>
  <c r="Y37" i="41" s="1"/>
  <c r="J35" i="41"/>
  <c r="J33" i="41" s="1"/>
  <c r="J38" i="41" s="1"/>
  <c r="J21" i="41" s="1"/>
  <c r="X34" i="41"/>
  <c r="X22" i="41" s="1"/>
  <c r="X7" i="42" s="1"/>
  <c r="O43" i="41"/>
  <c r="N34" i="41"/>
  <c r="N22" i="41" s="1"/>
  <c r="N7" i="42" s="1"/>
  <c r="G34" i="41"/>
  <c r="G22" i="41" s="1"/>
  <c r="G7" i="42" s="1"/>
  <c r="I11" i="29"/>
  <c r="I12" i="29"/>
  <c r="I13" i="29"/>
  <c r="B25" i="29" s="1"/>
  <c r="D25" i="29" s="1"/>
  <c r="N40" i="41"/>
  <c r="N5" i="41" s="1"/>
  <c r="N7" i="41" s="1"/>
  <c r="N9" i="41" s="1"/>
  <c r="N13" i="41" s="1"/>
  <c r="N15" i="41" s="1"/>
  <c r="N17" i="41" s="1"/>
  <c r="N3" i="42" s="1"/>
  <c r="E34" i="41"/>
  <c r="E22" i="41" s="1"/>
  <c r="E7" i="42" s="1"/>
  <c r="F10" i="20"/>
  <c r="G10" i="46"/>
  <c r="F73" i="45"/>
  <c r="F73" i="17"/>
  <c r="F38" i="41" l="1"/>
  <c r="F21" i="41" s="1"/>
  <c r="F23" i="41" s="1"/>
  <c r="T37" i="41"/>
  <c r="T44" i="41" s="1"/>
  <c r="O37" i="41"/>
  <c r="O44" i="41" s="1"/>
  <c r="T9" i="36"/>
  <c r="N38" i="41"/>
  <c r="N21" i="41" s="1"/>
  <c r="N6" i="42" s="1"/>
  <c r="N9" i="42" s="1"/>
  <c r="N3" i="43" s="1"/>
  <c r="S37" i="41"/>
  <c r="S44" i="41" s="1"/>
  <c r="W37" i="41"/>
  <c r="W44" i="41" s="1"/>
  <c r="E38" i="41"/>
  <c r="E21" i="41" s="1"/>
  <c r="E6" i="42" s="1"/>
  <c r="E9" i="42" s="1"/>
  <c r="S43" i="41"/>
  <c r="M9" i="36"/>
  <c r="U38" i="41"/>
  <c r="U21" i="41" s="1"/>
  <c r="U23" i="41" s="1"/>
  <c r="D37" i="41"/>
  <c r="E9" i="36"/>
  <c r="H38" i="41"/>
  <c r="H21" i="41" s="1"/>
  <c r="H6" i="42" s="1"/>
  <c r="Q37" i="41"/>
  <c r="Q44" i="41" s="1"/>
  <c r="C9" i="36"/>
  <c r="W43" i="41"/>
  <c r="X38" i="41"/>
  <c r="X21" i="41" s="1"/>
  <c r="X6" i="42" s="1"/>
  <c r="X9" i="42" s="1"/>
  <c r="Z9" i="36"/>
  <c r="W9" i="36"/>
  <c r="L62" i="17"/>
  <c r="L64" i="17" s="1"/>
  <c r="L66" i="17" s="1"/>
  <c r="I9" i="21"/>
  <c r="I10" i="21" s="1"/>
  <c r="M71" i="45"/>
  <c r="M71" i="17"/>
  <c r="P39" i="17"/>
  <c r="O40" i="17"/>
  <c r="O65" i="17" s="1"/>
  <c r="O71" i="17" s="1"/>
  <c r="O73" i="17" s="1"/>
  <c r="N75" i="45"/>
  <c r="N76" i="45" s="1"/>
  <c r="N11" i="45" s="1"/>
  <c r="N13" i="45" s="1"/>
  <c r="N80" i="45"/>
  <c r="X9" i="36"/>
  <c r="P39" i="45"/>
  <c r="O40" i="45"/>
  <c r="R38" i="41"/>
  <c r="R21" i="41" s="1"/>
  <c r="R23" i="41" s="1"/>
  <c r="N75" i="17"/>
  <c r="N76" i="17" s="1"/>
  <c r="N11" i="17" s="1"/>
  <c r="N80" i="17"/>
  <c r="L43" i="41"/>
  <c r="O9" i="36"/>
  <c r="K9" i="36"/>
  <c r="Q9" i="36"/>
  <c r="F9" i="36"/>
  <c r="AA33" i="41"/>
  <c r="L37" i="41"/>
  <c r="L44" i="41" s="1"/>
  <c r="X43" i="41"/>
  <c r="G9" i="36"/>
  <c r="S9" i="36"/>
  <c r="AA7" i="33"/>
  <c r="B9" i="33"/>
  <c r="AA9" i="33" s="1"/>
  <c r="G38" i="41"/>
  <c r="G21" i="41" s="1"/>
  <c r="G23" i="41" s="1"/>
  <c r="G8" i="45"/>
  <c r="C6" i="47"/>
  <c r="D4" i="47"/>
  <c r="H6" i="45"/>
  <c r="L9" i="36"/>
  <c r="V37" i="41"/>
  <c r="V44" i="41" s="1"/>
  <c r="B5" i="26"/>
  <c r="B5" i="25"/>
  <c r="C6" i="21"/>
  <c r="B5" i="49"/>
  <c r="B5" i="48"/>
  <c r="G8" i="17"/>
  <c r="B38" i="41"/>
  <c r="B21" i="41" s="1"/>
  <c r="AA6" i="36"/>
  <c r="Y9" i="36"/>
  <c r="P9" i="36"/>
  <c r="N43" i="41"/>
  <c r="H9" i="36"/>
  <c r="B9" i="34"/>
  <c r="AA9" i="34" s="1"/>
  <c r="AA7" i="34"/>
  <c r="AA29" i="34"/>
  <c r="I9" i="36"/>
  <c r="B37" i="41"/>
  <c r="D9" i="36"/>
  <c r="D27" i="19"/>
  <c r="B29" i="19"/>
  <c r="U9" i="36"/>
  <c r="B4" i="30"/>
  <c r="B6" i="30" s="1"/>
  <c r="B4" i="50"/>
  <c r="B6" i="50" s="1"/>
  <c r="D6" i="28"/>
  <c r="AA7" i="35"/>
  <c r="B9" i="35"/>
  <c r="AA9" i="35" s="1"/>
  <c r="C3" i="25"/>
  <c r="C3" i="49"/>
  <c r="C3" i="48"/>
  <c r="C3" i="26"/>
  <c r="H6" i="17"/>
  <c r="D4" i="21"/>
  <c r="J9" i="36"/>
  <c r="R9" i="36"/>
  <c r="B9" i="40"/>
  <c r="AA9" i="40" s="1"/>
  <c r="AA7" i="40"/>
  <c r="V9" i="36"/>
  <c r="K37" i="41"/>
  <c r="K44" i="41" s="1"/>
  <c r="K43" i="41"/>
  <c r="C37" i="41"/>
  <c r="N9" i="36"/>
  <c r="R43" i="41"/>
  <c r="F43" i="41"/>
  <c r="Y38" i="41"/>
  <c r="Y21" i="41" s="1"/>
  <c r="Y6" i="42" s="1"/>
  <c r="Z37" i="41"/>
  <c r="M38" i="41"/>
  <c r="M21" i="41" s="1"/>
  <c r="M6" i="42" s="1"/>
  <c r="P38" i="41"/>
  <c r="P21" i="41" s="1"/>
  <c r="P6" i="42" s="1"/>
  <c r="I38" i="41"/>
  <c r="I21" i="41" s="1"/>
  <c r="I6" i="42" s="1"/>
  <c r="J37" i="41"/>
  <c r="Z6" i="42"/>
  <c r="W23" i="41"/>
  <c r="W6" i="42"/>
  <c r="W9" i="42" s="1"/>
  <c r="C6" i="42"/>
  <c r="S6" i="42"/>
  <c r="S9" i="42" s="1"/>
  <c r="S3" i="51" s="1"/>
  <c r="S23" i="41"/>
  <c r="P32" i="41"/>
  <c r="P34" i="41"/>
  <c r="P22" i="41" s="1"/>
  <c r="P7" i="42" s="1"/>
  <c r="D32" i="41"/>
  <c r="D34" i="41"/>
  <c r="D22" i="41" s="1"/>
  <c r="D7" i="42" s="1"/>
  <c r="J32" i="41"/>
  <c r="J34" i="41"/>
  <c r="J22" i="41" s="1"/>
  <c r="J7" i="42" s="1"/>
  <c r="C21" i="30"/>
  <c r="D21" i="30" s="1"/>
  <c r="C21" i="50"/>
  <c r="D21" i="50" s="1"/>
  <c r="H16" i="29"/>
  <c r="H17" i="29"/>
  <c r="V6" i="42"/>
  <c r="V9" i="42" s="1"/>
  <c r="V23" i="41"/>
  <c r="B32" i="41"/>
  <c r="AA35" i="41"/>
  <c r="B34" i="41"/>
  <c r="H32" i="41"/>
  <c r="H34" i="41"/>
  <c r="H22" i="41" s="1"/>
  <c r="H7" i="42" s="1"/>
  <c r="O6" i="42"/>
  <c r="O9" i="42" s="1"/>
  <c r="O23" i="41"/>
  <c r="I19" i="29"/>
  <c r="B4" i="29" s="1"/>
  <c r="D4" i="29" s="1"/>
  <c r="I14" i="29"/>
  <c r="I15" i="29" s="1"/>
  <c r="G43" i="41"/>
  <c r="Z32" i="41"/>
  <c r="Z34" i="41"/>
  <c r="Z22" i="41" s="1"/>
  <c r="Z7" i="42" s="1"/>
  <c r="J6" i="42"/>
  <c r="C32" i="41"/>
  <c r="C34" i="41"/>
  <c r="C22" i="41" s="1"/>
  <c r="C7" i="42" s="1"/>
  <c r="Q6" i="42"/>
  <c r="Q9" i="42" s="1"/>
  <c r="Q23" i="41"/>
  <c r="L23" i="41"/>
  <c r="L6" i="42"/>
  <c r="L9" i="42" s="1"/>
  <c r="Y32" i="41"/>
  <c r="Y34" i="41"/>
  <c r="Y22" i="41" s="1"/>
  <c r="Y7" i="42" s="1"/>
  <c r="I16" i="29"/>
  <c r="B24" i="29" s="1"/>
  <c r="D24" i="29" s="1"/>
  <c r="I17" i="29"/>
  <c r="D6" i="42"/>
  <c r="K23" i="41"/>
  <c r="K6" i="42"/>
  <c r="K9" i="42" s="1"/>
  <c r="K3" i="43" s="1"/>
  <c r="H14" i="29"/>
  <c r="H15" i="29" s="1"/>
  <c r="H19" i="29"/>
  <c r="M32" i="41"/>
  <c r="M34" i="41"/>
  <c r="M22" i="41" s="1"/>
  <c r="M7" i="42" s="1"/>
  <c r="T23" i="41"/>
  <c r="T6" i="42"/>
  <c r="T9" i="42" s="1"/>
  <c r="T3" i="51" s="1"/>
  <c r="I32" i="41"/>
  <c r="I34" i="41"/>
  <c r="I22" i="41" s="1"/>
  <c r="I7" i="42" s="1"/>
  <c r="E43" i="41"/>
  <c r="V43" i="41"/>
  <c r="Q43" i="41"/>
  <c r="G10" i="20"/>
  <c r="F80" i="45"/>
  <c r="F75" i="45"/>
  <c r="H10" i="46"/>
  <c r="F80" i="17"/>
  <c r="F75" i="17"/>
  <c r="F6" i="42" l="1"/>
  <c r="F9" i="42" s="1"/>
  <c r="F3" i="43" s="1"/>
  <c r="F44" i="41"/>
  <c r="N44" i="41"/>
  <c r="N23" i="41"/>
  <c r="E44" i="41"/>
  <c r="U44" i="41"/>
  <c r="E23" i="41"/>
  <c r="U6" i="42"/>
  <c r="U9" i="42" s="1"/>
  <c r="U3" i="51" s="1"/>
  <c r="X23" i="41"/>
  <c r="X44" i="41"/>
  <c r="B13" i="33"/>
  <c r="AA13" i="33" s="1"/>
  <c r="M23" i="41"/>
  <c r="O80" i="17"/>
  <c r="O75" i="17"/>
  <c r="O76" i="17" s="1"/>
  <c r="O11" i="17" s="1"/>
  <c r="Q39" i="17"/>
  <c r="P40" i="17"/>
  <c r="P65" i="17" s="1"/>
  <c r="P71" i="17" s="1"/>
  <c r="P73" i="17" s="1"/>
  <c r="R6" i="42"/>
  <c r="R9" i="42" s="1"/>
  <c r="R3" i="43" s="1"/>
  <c r="M73" i="17"/>
  <c r="J14" i="26"/>
  <c r="J16" i="26" s="1"/>
  <c r="J14" i="49"/>
  <c r="J16" i="49" s="1"/>
  <c r="J14" i="48"/>
  <c r="J16" i="48" s="1"/>
  <c r="N13" i="17"/>
  <c r="J14" i="25"/>
  <c r="J16" i="25" s="1"/>
  <c r="K9" i="47"/>
  <c r="K10" i="47" s="1"/>
  <c r="N62" i="45"/>
  <c r="N64" i="45" s="1"/>
  <c r="N66" i="45" s="1"/>
  <c r="M73" i="45"/>
  <c r="O65" i="45"/>
  <c r="Q39" i="45"/>
  <c r="P40" i="45"/>
  <c r="P65" i="45" s="1"/>
  <c r="P71" i="45" s="1"/>
  <c r="P73" i="45" s="1"/>
  <c r="R44" i="41"/>
  <c r="G6" i="42"/>
  <c r="G9" i="42" s="1"/>
  <c r="G3" i="43" s="1"/>
  <c r="G44" i="41"/>
  <c r="B13" i="40"/>
  <c r="D7" i="17"/>
  <c r="C10" i="24"/>
  <c r="E10" i="24" s="1"/>
  <c r="D7" i="45"/>
  <c r="D29" i="19"/>
  <c r="E4" i="47"/>
  <c r="I6" i="45"/>
  <c r="B13" i="34"/>
  <c r="AA37" i="41"/>
  <c r="H8" i="45"/>
  <c r="D6" i="47"/>
  <c r="D3" i="49"/>
  <c r="D3" i="25"/>
  <c r="D3" i="48"/>
  <c r="D3" i="26"/>
  <c r="I6" i="17"/>
  <c r="E4" i="21"/>
  <c r="B13" i="35"/>
  <c r="D6" i="21"/>
  <c r="H8" i="17"/>
  <c r="C5" i="48"/>
  <c r="C5" i="25"/>
  <c r="C5" i="26"/>
  <c r="C5" i="49"/>
  <c r="Z23" i="41"/>
  <c r="B8" i="28"/>
  <c r="D8" i="28" s="1"/>
  <c r="D12" i="28" s="1"/>
  <c r="Q3" i="51"/>
  <c r="Q3" i="43"/>
  <c r="V3" i="51"/>
  <c r="V3" i="43"/>
  <c r="L3" i="43"/>
  <c r="L3" i="51"/>
  <c r="W3" i="51"/>
  <c r="W3" i="43"/>
  <c r="E3" i="43"/>
  <c r="E3" i="51"/>
  <c r="H23" i="41"/>
  <c r="T3" i="43"/>
  <c r="K3" i="51"/>
  <c r="N3" i="51"/>
  <c r="C23" i="41"/>
  <c r="O3" i="43"/>
  <c r="O3" i="51"/>
  <c r="AA38" i="41"/>
  <c r="S3" i="43"/>
  <c r="Z40" i="41"/>
  <c r="Z5" i="41" s="1"/>
  <c r="Z7" i="41" s="1"/>
  <c r="Z44" i="41"/>
  <c r="P40" i="41"/>
  <c r="P5" i="41" s="1"/>
  <c r="P7" i="41" s="1"/>
  <c r="P9" i="41" s="1"/>
  <c r="P13" i="41" s="1"/>
  <c r="P15" i="41" s="1"/>
  <c r="P17" i="41" s="1"/>
  <c r="P3" i="42" s="1"/>
  <c r="P9" i="42" s="1"/>
  <c r="P44" i="41"/>
  <c r="B6" i="42"/>
  <c r="AA21" i="41"/>
  <c r="X3" i="43"/>
  <c r="X3" i="51"/>
  <c r="D40" i="41"/>
  <c r="D5" i="41" s="1"/>
  <c r="D7" i="41" s="1"/>
  <c r="D9" i="41" s="1"/>
  <c r="D13" i="41" s="1"/>
  <c r="D15" i="41" s="1"/>
  <c r="D17" i="41" s="1"/>
  <c r="D3" i="42" s="1"/>
  <c r="D9" i="42" s="1"/>
  <c r="D44" i="41"/>
  <c r="P23" i="41"/>
  <c r="Y40" i="41"/>
  <c r="Y5" i="41" s="1"/>
  <c r="Y7" i="41" s="1"/>
  <c r="Y9" i="41" s="1"/>
  <c r="Y13" i="41" s="1"/>
  <c r="Y15" i="41" s="1"/>
  <c r="Y17" i="41" s="1"/>
  <c r="Y3" i="42" s="1"/>
  <c r="Y9" i="42" s="1"/>
  <c r="Y44" i="41"/>
  <c r="D23" i="41"/>
  <c r="C20" i="50"/>
  <c r="D26" i="29"/>
  <c r="C20" i="30"/>
  <c r="C4" i="30"/>
  <c r="C4" i="50"/>
  <c r="D6" i="29"/>
  <c r="J40" i="41"/>
  <c r="J5" i="41" s="1"/>
  <c r="J7" i="41" s="1"/>
  <c r="J9" i="41" s="1"/>
  <c r="J13" i="41" s="1"/>
  <c r="J15" i="41" s="1"/>
  <c r="J17" i="41" s="1"/>
  <c r="J3" i="42" s="1"/>
  <c r="J9" i="42" s="1"/>
  <c r="J44" i="41"/>
  <c r="B40" i="41"/>
  <c r="B43" i="41" s="1"/>
  <c r="AA32" i="41"/>
  <c r="B44" i="41"/>
  <c r="I40" i="41"/>
  <c r="I5" i="41" s="1"/>
  <c r="I7" i="41" s="1"/>
  <c r="I9" i="41" s="1"/>
  <c r="I13" i="41" s="1"/>
  <c r="I15" i="41" s="1"/>
  <c r="I17" i="41" s="1"/>
  <c r="I3" i="42" s="1"/>
  <c r="I9" i="42" s="1"/>
  <c r="I44" i="41"/>
  <c r="M40" i="41"/>
  <c r="M5" i="41" s="1"/>
  <c r="M7" i="41" s="1"/>
  <c r="M9" i="41" s="1"/>
  <c r="M13" i="41" s="1"/>
  <c r="M15" i="41" s="1"/>
  <c r="M17" i="41" s="1"/>
  <c r="M3" i="42" s="1"/>
  <c r="M9" i="42" s="1"/>
  <c r="M44" i="41"/>
  <c r="H40" i="41"/>
  <c r="H5" i="41" s="1"/>
  <c r="H7" i="41" s="1"/>
  <c r="H9" i="41" s="1"/>
  <c r="H13" i="41" s="1"/>
  <c r="H15" i="41" s="1"/>
  <c r="H17" i="41" s="1"/>
  <c r="H3" i="42" s="1"/>
  <c r="H9" i="42" s="1"/>
  <c r="H44" i="41"/>
  <c r="Y23" i="41"/>
  <c r="C40" i="41"/>
  <c r="C5" i="41" s="1"/>
  <c r="C7" i="41" s="1"/>
  <c r="C9" i="41" s="1"/>
  <c r="C13" i="41" s="1"/>
  <c r="C15" i="41" s="1"/>
  <c r="C17" i="41" s="1"/>
  <c r="C3" i="42" s="1"/>
  <c r="C9" i="42" s="1"/>
  <c r="C44" i="41"/>
  <c r="B22" i="41"/>
  <c r="B23" i="41" s="1"/>
  <c r="AA34" i="41"/>
  <c r="J23" i="41"/>
  <c r="I23" i="41"/>
  <c r="H10" i="20"/>
  <c r="E83" i="45"/>
  <c r="D83" i="45"/>
  <c r="I10" i="46"/>
  <c r="F76" i="17"/>
  <c r="D83" i="17"/>
  <c r="F41" i="13" s="1"/>
  <c r="E83" i="17"/>
  <c r="F76" i="45"/>
  <c r="F3" i="51" l="1"/>
  <c r="U3" i="43"/>
  <c r="B15" i="33"/>
  <c r="AA15" i="33" s="1"/>
  <c r="C43" i="41"/>
  <c r="G3" i="51"/>
  <c r="O71" i="45"/>
  <c r="H43" i="41"/>
  <c r="R3" i="51"/>
  <c r="N62" i="17"/>
  <c r="N64" i="17" s="1"/>
  <c r="N66" i="17" s="1"/>
  <c r="K9" i="21"/>
  <c r="K10" i="21" s="1"/>
  <c r="M80" i="17"/>
  <c r="M75" i="17"/>
  <c r="M76" i="17" s="1"/>
  <c r="M11" i="17" s="1"/>
  <c r="M75" i="45"/>
  <c r="M76" i="45" s="1"/>
  <c r="M11" i="45" s="1"/>
  <c r="M13" i="45" s="1"/>
  <c r="M80" i="45"/>
  <c r="P80" i="17"/>
  <c r="P75" i="17"/>
  <c r="P76" i="17" s="1"/>
  <c r="P11" i="17" s="1"/>
  <c r="R39" i="17"/>
  <c r="Q40" i="17"/>
  <c r="Q65" i="17" s="1"/>
  <c r="O13" i="17"/>
  <c r="K14" i="26"/>
  <c r="K16" i="26" s="1"/>
  <c r="K14" i="49"/>
  <c r="K16" i="49" s="1"/>
  <c r="K14" i="25"/>
  <c r="K16" i="25" s="1"/>
  <c r="K14" i="48"/>
  <c r="K16" i="48" s="1"/>
  <c r="P80" i="45"/>
  <c r="P75" i="45"/>
  <c r="P76" i="45" s="1"/>
  <c r="P11" i="45" s="1"/>
  <c r="P13" i="45" s="1"/>
  <c r="AA6" i="42"/>
  <c r="R39" i="45"/>
  <c r="Q40" i="45"/>
  <c r="E3" i="48"/>
  <c r="E3" i="25"/>
  <c r="E3" i="49"/>
  <c r="E3" i="26"/>
  <c r="F4" i="21"/>
  <c r="J6" i="17"/>
  <c r="B8" i="30"/>
  <c r="B12" i="30" s="1"/>
  <c r="B8" i="50"/>
  <c r="B12" i="50" s="1"/>
  <c r="E6" i="47"/>
  <c r="I8" i="45"/>
  <c r="B14" i="28"/>
  <c r="D14" i="28" s="1"/>
  <c r="D16" i="28" s="1"/>
  <c r="F4" i="47"/>
  <c r="J6" i="45"/>
  <c r="B15" i="34"/>
  <c r="AA15" i="34" s="1"/>
  <c r="AA13" i="34"/>
  <c r="E6" i="21"/>
  <c r="I8" i="17"/>
  <c r="D5" i="49"/>
  <c r="D5" i="48"/>
  <c r="D5" i="26"/>
  <c r="D5" i="25"/>
  <c r="C29" i="19"/>
  <c r="C8" i="24"/>
  <c r="E8" i="24" s="1"/>
  <c r="F7" i="45"/>
  <c r="D9" i="45"/>
  <c r="F7" i="17"/>
  <c r="D9" i="17"/>
  <c r="AA13" i="40"/>
  <c r="B15" i="40"/>
  <c r="AA15" i="40" s="1"/>
  <c r="B15" i="35"/>
  <c r="AA15" i="35" s="1"/>
  <c r="AA13" i="35"/>
  <c r="I43" i="41"/>
  <c r="AA23" i="41"/>
  <c r="AA44" i="41"/>
  <c r="P43" i="41"/>
  <c r="Y43" i="41"/>
  <c r="P3" i="51"/>
  <c r="P3" i="43"/>
  <c r="J3" i="51"/>
  <c r="J3" i="43"/>
  <c r="D20" i="50"/>
  <c r="C22" i="50"/>
  <c r="H3" i="43"/>
  <c r="H3" i="51"/>
  <c r="I3" i="43"/>
  <c r="I3" i="51"/>
  <c r="C3" i="43"/>
  <c r="C3" i="51"/>
  <c r="D20" i="30"/>
  <c r="C22" i="30"/>
  <c r="Y3" i="43"/>
  <c r="Y3" i="51"/>
  <c r="B5" i="41"/>
  <c r="AA40" i="41"/>
  <c r="AA43" i="41" s="1"/>
  <c r="J43" i="41"/>
  <c r="D43" i="41"/>
  <c r="D3" i="51"/>
  <c r="D3" i="43"/>
  <c r="Z43" i="41"/>
  <c r="Z9" i="41"/>
  <c r="Z13" i="41" s="1"/>
  <c r="Z15" i="41" s="1"/>
  <c r="Z17" i="41" s="1"/>
  <c r="Z3" i="42" s="1"/>
  <c r="Z9" i="42" s="1"/>
  <c r="AA22" i="41"/>
  <c r="B7" i="42"/>
  <c r="M43" i="41"/>
  <c r="B11" i="29"/>
  <c r="D11" i="29" s="1"/>
  <c r="D16" i="29" s="1"/>
  <c r="C6" i="50"/>
  <c r="D4" i="50"/>
  <c r="E4" i="50" s="1"/>
  <c r="M3" i="43"/>
  <c r="M3" i="51"/>
  <c r="D4" i="30"/>
  <c r="E4" i="30" s="1"/>
  <c r="C6" i="30"/>
  <c r="I10" i="20"/>
  <c r="J10" i="46"/>
  <c r="C35" i="19"/>
  <c r="D35" i="19" s="1"/>
  <c r="U7" i="51"/>
  <c r="U9" i="51" s="1"/>
  <c r="U12" i="51" s="1"/>
  <c r="U14" i="51" s="1"/>
  <c r="O7" i="43"/>
  <c r="O9" i="43" s="1"/>
  <c r="O12" i="43" s="1"/>
  <c r="O14" i="43" s="1"/>
  <c r="H7" i="37"/>
  <c r="H9" i="37" s="1"/>
  <c r="H3" i="37" s="1"/>
  <c r="H10" i="36" s="1"/>
  <c r="B7" i="51"/>
  <c r="V7" i="51"/>
  <c r="V9" i="51" s="1"/>
  <c r="V12" i="51" s="1"/>
  <c r="V14" i="51" s="1"/>
  <c r="P7" i="43"/>
  <c r="P9" i="43" s="1"/>
  <c r="I7" i="37"/>
  <c r="I9" i="37" s="1"/>
  <c r="I3" i="37" s="1"/>
  <c r="I10" i="36" s="1"/>
  <c r="O7" i="37"/>
  <c r="O9" i="37" s="1"/>
  <c r="O3" i="37" s="1"/>
  <c r="O10" i="36" s="1"/>
  <c r="C7" i="43"/>
  <c r="C9" i="43" s="1"/>
  <c r="W7" i="43"/>
  <c r="W9" i="43" s="1"/>
  <c r="W12" i="43" s="1"/>
  <c r="W14" i="43" s="1"/>
  <c r="E7" i="43"/>
  <c r="E9" i="43" s="1"/>
  <c r="E12" i="43" s="1"/>
  <c r="E14" i="43" s="1"/>
  <c r="L7" i="51"/>
  <c r="L9" i="51" s="1"/>
  <c r="L12" i="51" s="1"/>
  <c r="L14" i="51" s="1"/>
  <c r="T7" i="37"/>
  <c r="T9" i="37" s="1"/>
  <c r="T3" i="37" s="1"/>
  <c r="T10" i="36" s="1"/>
  <c r="C7" i="37"/>
  <c r="C9" i="37" s="1"/>
  <c r="C3" i="37" s="1"/>
  <c r="C10" i="36" s="1"/>
  <c r="C7" i="51"/>
  <c r="C9" i="51" s="1"/>
  <c r="W7" i="51"/>
  <c r="W9" i="51" s="1"/>
  <c r="W12" i="51" s="1"/>
  <c r="W14" i="51" s="1"/>
  <c r="Q7" i="43"/>
  <c r="Q9" i="43" s="1"/>
  <c r="Q12" i="43" s="1"/>
  <c r="Q14" i="43" s="1"/>
  <c r="J7" i="37"/>
  <c r="J9" i="37" s="1"/>
  <c r="J3" i="37" s="1"/>
  <c r="J10" i="36" s="1"/>
  <c r="D7" i="51"/>
  <c r="D9" i="51" s="1"/>
  <c r="X7" i="51"/>
  <c r="X9" i="51" s="1"/>
  <c r="X12" i="51" s="1"/>
  <c r="X14" i="51" s="1"/>
  <c r="R7" i="43"/>
  <c r="R9" i="43" s="1"/>
  <c r="R12" i="43" s="1"/>
  <c r="R14" i="43" s="1"/>
  <c r="K7" i="37"/>
  <c r="K9" i="37" s="1"/>
  <c r="K3" i="37" s="1"/>
  <c r="K10" i="36" s="1"/>
  <c r="R7" i="37"/>
  <c r="R9" i="37" s="1"/>
  <c r="R3" i="37" s="1"/>
  <c r="R10" i="36" s="1"/>
  <c r="E7" i="51"/>
  <c r="E9" i="51" s="1"/>
  <c r="E12" i="51" s="1"/>
  <c r="E14" i="51" s="1"/>
  <c r="Y7" i="51"/>
  <c r="Y9" i="51" s="1"/>
  <c r="S7" i="43"/>
  <c r="S9" i="43" s="1"/>
  <c r="S12" i="43" s="1"/>
  <c r="S14" i="43" s="1"/>
  <c r="L7" i="37"/>
  <c r="L9" i="37" s="1"/>
  <c r="L3" i="37" s="1"/>
  <c r="L10" i="36" s="1"/>
  <c r="H7" i="51"/>
  <c r="H9" i="51" s="1"/>
  <c r="F7" i="51"/>
  <c r="F9" i="51" s="1"/>
  <c r="Z7" i="51"/>
  <c r="Z9" i="51" s="1"/>
  <c r="T7" i="43"/>
  <c r="T9" i="43" s="1"/>
  <c r="T12" i="43" s="1"/>
  <c r="T14" i="43" s="1"/>
  <c r="M7" i="37"/>
  <c r="M9" i="37" s="1"/>
  <c r="M3" i="37" s="1"/>
  <c r="M10" i="36" s="1"/>
  <c r="G7" i="51"/>
  <c r="G9" i="51" s="1"/>
  <c r="U7" i="43"/>
  <c r="U9" i="43" s="1"/>
  <c r="N7" i="37"/>
  <c r="N9" i="37" s="1"/>
  <c r="N3" i="37" s="1"/>
  <c r="N10" i="36" s="1"/>
  <c r="V7" i="43"/>
  <c r="V9" i="43" s="1"/>
  <c r="V12" i="43" s="1"/>
  <c r="V14" i="43" s="1"/>
  <c r="I7" i="51"/>
  <c r="I9" i="51" s="1"/>
  <c r="P7" i="37"/>
  <c r="P9" i="37" s="1"/>
  <c r="P3" i="37" s="1"/>
  <c r="P10" i="36" s="1"/>
  <c r="D7" i="43"/>
  <c r="D9" i="43" s="1"/>
  <c r="K7" i="51"/>
  <c r="K9" i="51" s="1"/>
  <c r="K12" i="51" s="1"/>
  <c r="K14" i="51" s="1"/>
  <c r="Y7" i="43"/>
  <c r="Y9" i="43" s="1"/>
  <c r="F7" i="43"/>
  <c r="F9" i="43" s="1"/>
  <c r="F12" i="43" s="1"/>
  <c r="F14" i="43" s="1"/>
  <c r="S7" i="37"/>
  <c r="S9" i="37" s="1"/>
  <c r="S3" i="37" s="1"/>
  <c r="S10" i="36" s="1"/>
  <c r="G7" i="43"/>
  <c r="G9" i="43" s="1"/>
  <c r="G12" i="43" s="1"/>
  <c r="G14" i="43" s="1"/>
  <c r="N7" i="51"/>
  <c r="N9" i="51" s="1"/>
  <c r="N12" i="51" s="1"/>
  <c r="N14" i="51" s="1"/>
  <c r="H7" i="43"/>
  <c r="H9" i="43" s="1"/>
  <c r="U7" i="37"/>
  <c r="U9" i="37" s="1"/>
  <c r="U3" i="37" s="1"/>
  <c r="U10" i="36" s="1"/>
  <c r="O7" i="51"/>
  <c r="O9" i="51" s="1"/>
  <c r="I7" i="43"/>
  <c r="I9" i="43" s="1"/>
  <c r="B7" i="37"/>
  <c r="V7" i="37"/>
  <c r="V9" i="37" s="1"/>
  <c r="V3" i="37" s="1"/>
  <c r="V10" i="36" s="1"/>
  <c r="W7" i="37"/>
  <c r="W9" i="37" s="1"/>
  <c r="W3" i="37" s="1"/>
  <c r="W10" i="36" s="1"/>
  <c r="B7" i="43"/>
  <c r="J7" i="51"/>
  <c r="J9" i="51" s="1"/>
  <c r="B38" i="50"/>
  <c r="X7" i="43"/>
  <c r="X9" i="43" s="1"/>
  <c r="X12" i="43" s="1"/>
  <c r="X14" i="43" s="1"/>
  <c r="Q7" i="37"/>
  <c r="Q9" i="37" s="1"/>
  <c r="Q3" i="37" s="1"/>
  <c r="Q10" i="36" s="1"/>
  <c r="Z7" i="43"/>
  <c r="Z9" i="43" s="1"/>
  <c r="M7" i="51"/>
  <c r="M9" i="51" s="1"/>
  <c r="P7" i="51"/>
  <c r="P9" i="51" s="1"/>
  <c r="J7" i="43"/>
  <c r="J9" i="43" s="1"/>
  <c r="Q7" i="51"/>
  <c r="Q9" i="51" s="1"/>
  <c r="Q12" i="51" s="1"/>
  <c r="Q14" i="51" s="1"/>
  <c r="K7" i="43"/>
  <c r="K9" i="43" s="1"/>
  <c r="K12" i="43" s="1"/>
  <c r="K14" i="43" s="1"/>
  <c r="D7" i="37"/>
  <c r="D9" i="37" s="1"/>
  <c r="D3" i="37" s="1"/>
  <c r="D10" i="36" s="1"/>
  <c r="X7" i="37"/>
  <c r="X9" i="37" s="1"/>
  <c r="X3" i="37" s="1"/>
  <c r="X10" i="36" s="1"/>
  <c r="B38" i="30"/>
  <c r="R7" i="51"/>
  <c r="R9" i="51" s="1"/>
  <c r="L7" i="43"/>
  <c r="L9" i="43" s="1"/>
  <c r="L12" i="43" s="1"/>
  <c r="L14" i="43" s="1"/>
  <c r="E7" i="37"/>
  <c r="E9" i="37" s="1"/>
  <c r="E3" i="37" s="1"/>
  <c r="E10" i="36" s="1"/>
  <c r="Y7" i="37"/>
  <c r="Y9" i="37" s="1"/>
  <c r="Y3" i="37" s="1"/>
  <c r="Y10" i="36" s="1"/>
  <c r="S7" i="51"/>
  <c r="S9" i="51" s="1"/>
  <c r="S12" i="51" s="1"/>
  <c r="S14" i="51" s="1"/>
  <c r="M7" i="43"/>
  <c r="M9" i="43" s="1"/>
  <c r="F7" i="37"/>
  <c r="F9" i="37" s="1"/>
  <c r="F3" i="37" s="1"/>
  <c r="F10" i="36" s="1"/>
  <c r="Z7" i="37"/>
  <c r="Z9" i="37" s="1"/>
  <c r="Z3" i="37" s="1"/>
  <c r="Z10" i="36" s="1"/>
  <c r="T7" i="51"/>
  <c r="T9" i="51" s="1"/>
  <c r="T12" i="51" s="1"/>
  <c r="T14" i="51" s="1"/>
  <c r="N7" i="43"/>
  <c r="N9" i="43" s="1"/>
  <c r="N12" i="43" s="1"/>
  <c r="N14" i="43" s="1"/>
  <c r="G7" i="37"/>
  <c r="G9" i="37" s="1"/>
  <c r="G3" i="37" s="1"/>
  <c r="G10" i="36" s="1"/>
  <c r="F12" i="51" l="1"/>
  <c r="F14" i="51" s="1"/>
  <c r="U12" i="43"/>
  <c r="U14" i="43" s="1"/>
  <c r="B17" i="33"/>
  <c r="B12" i="37" s="1"/>
  <c r="AA12" i="37" s="1"/>
  <c r="G12" i="51"/>
  <c r="G14" i="51" s="1"/>
  <c r="R12" i="51"/>
  <c r="R14" i="51" s="1"/>
  <c r="P12" i="43"/>
  <c r="P14" i="43" s="1"/>
  <c r="B17" i="40"/>
  <c r="AA17" i="40" s="1"/>
  <c r="L14" i="26"/>
  <c r="L16" i="26" s="1"/>
  <c r="L14" i="25"/>
  <c r="L16" i="25" s="1"/>
  <c r="L14" i="49"/>
  <c r="L16" i="49" s="1"/>
  <c r="P13" i="17"/>
  <c r="L14" i="48"/>
  <c r="L16" i="48" s="1"/>
  <c r="L9" i="21"/>
  <c r="L10" i="21" s="1"/>
  <c r="O62" i="17"/>
  <c r="O64" i="17" s="1"/>
  <c r="O66" i="17" s="1"/>
  <c r="M62" i="45"/>
  <c r="M64" i="45" s="1"/>
  <c r="M66" i="45" s="1"/>
  <c r="J9" i="47"/>
  <c r="J10" i="47" s="1"/>
  <c r="Q71" i="17"/>
  <c r="I14" i="49"/>
  <c r="I16" i="49" s="1"/>
  <c r="I14" i="26"/>
  <c r="I16" i="26" s="1"/>
  <c r="M13" i="17"/>
  <c r="I14" i="48"/>
  <c r="I16" i="48" s="1"/>
  <c r="I14" i="25"/>
  <c r="I16" i="25" s="1"/>
  <c r="C12" i="51"/>
  <c r="C14" i="51" s="1"/>
  <c r="Q65" i="45"/>
  <c r="S39" i="45"/>
  <c r="R40" i="45"/>
  <c r="R65" i="45" s="1"/>
  <c r="R71" i="45" s="1"/>
  <c r="R73" i="45" s="1"/>
  <c r="S39" i="17"/>
  <c r="R40" i="17"/>
  <c r="R65" i="17" s="1"/>
  <c r="R71" i="17" s="1"/>
  <c r="R73" i="17" s="1"/>
  <c r="J12" i="43"/>
  <c r="J14" i="43" s="1"/>
  <c r="M9" i="47"/>
  <c r="M10" i="47" s="1"/>
  <c r="P62" i="45"/>
  <c r="P64" i="45" s="1"/>
  <c r="P66" i="45" s="1"/>
  <c r="H12" i="51"/>
  <c r="H14" i="51" s="1"/>
  <c r="Y12" i="43"/>
  <c r="Y14" i="43" s="1"/>
  <c r="P12" i="51"/>
  <c r="P14" i="51" s="1"/>
  <c r="O73" i="45"/>
  <c r="B17" i="35"/>
  <c r="AA17" i="35" s="1"/>
  <c r="I12" i="51"/>
  <c r="I14" i="51" s="1"/>
  <c r="B16" i="30"/>
  <c r="B16" i="50"/>
  <c r="Y12" i="51"/>
  <c r="Y14" i="51" s="1"/>
  <c r="K6" i="45"/>
  <c r="G4" i="47"/>
  <c r="F6" i="47"/>
  <c r="J8" i="45"/>
  <c r="G7" i="45"/>
  <c r="D27" i="46"/>
  <c r="D28" i="46" s="1"/>
  <c r="C5" i="47"/>
  <c r="C7" i="47" s="1"/>
  <c r="F9" i="45"/>
  <c r="F3" i="26"/>
  <c r="F3" i="25"/>
  <c r="F3" i="49"/>
  <c r="F3" i="48"/>
  <c r="K6" i="17"/>
  <c r="G4" i="21"/>
  <c r="J12" i="51"/>
  <c r="J14" i="51" s="1"/>
  <c r="B4" i="48"/>
  <c r="B8" i="48" s="1"/>
  <c r="C5" i="21"/>
  <c r="C7" i="21" s="1"/>
  <c r="G7" i="17"/>
  <c r="B4" i="26"/>
  <c r="B8" i="26" s="1"/>
  <c r="D27" i="20"/>
  <c r="D28" i="20" s="1"/>
  <c r="F9" i="17"/>
  <c r="B4" i="25"/>
  <c r="B8" i="25" s="1"/>
  <c r="B4" i="49"/>
  <c r="B8" i="49" s="1"/>
  <c r="B14" i="30"/>
  <c r="B14" i="50"/>
  <c r="E5" i="49"/>
  <c r="E5" i="25"/>
  <c r="F6" i="21"/>
  <c r="E5" i="48"/>
  <c r="J8" i="17"/>
  <c r="E5" i="26"/>
  <c r="B17" i="34"/>
  <c r="I12" i="43"/>
  <c r="I14" i="43" s="1"/>
  <c r="D12" i="43"/>
  <c r="D14" i="43" s="1"/>
  <c r="D12" i="51"/>
  <c r="D14" i="51" s="1"/>
  <c r="H12" i="43"/>
  <c r="H14" i="43" s="1"/>
  <c r="B18" i="29"/>
  <c r="D18" i="29" s="1"/>
  <c r="D20" i="29" s="1"/>
  <c r="C8" i="30"/>
  <c r="D8" i="30" s="1"/>
  <c r="E8" i="30" s="1"/>
  <c r="C8" i="50"/>
  <c r="D8" i="50" s="1"/>
  <c r="E8" i="50" s="1"/>
  <c r="E20" i="50"/>
  <c r="D22" i="30"/>
  <c r="M12" i="51"/>
  <c r="M14" i="51" s="1"/>
  <c r="E20" i="30"/>
  <c r="M12" i="43"/>
  <c r="M14" i="43" s="1"/>
  <c r="AA7" i="42"/>
  <c r="D22" i="50"/>
  <c r="Z3" i="43"/>
  <c r="Z12" i="43" s="1"/>
  <c r="Z14" i="43" s="1"/>
  <c r="Z3" i="51"/>
  <c r="Z12" i="51" s="1"/>
  <c r="Z14" i="51" s="1"/>
  <c r="AA5" i="41"/>
  <c r="B7" i="41"/>
  <c r="C12" i="50"/>
  <c r="D12" i="50" s="1"/>
  <c r="E12" i="50" s="1"/>
  <c r="D6" i="50"/>
  <c r="E6" i="50" s="1"/>
  <c r="C12" i="43"/>
  <c r="C14" i="43" s="1"/>
  <c r="D6" i="30"/>
  <c r="E6" i="30" s="1"/>
  <c r="J10" i="20"/>
  <c r="Q20" i="34"/>
  <c r="Q21" i="34" s="1"/>
  <c r="Q24" i="34" s="1"/>
  <c r="Q12" i="36"/>
  <c r="T20" i="34"/>
  <c r="T21" i="34" s="1"/>
  <c r="T24" i="34" s="1"/>
  <c r="T12" i="36"/>
  <c r="K10" i="46"/>
  <c r="C20" i="34"/>
  <c r="C21" i="34" s="1"/>
  <c r="C24" i="34" s="1"/>
  <c r="C12" i="36"/>
  <c r="V20" i="34"/>
  <c r="V21" i="34" s="1"/>
  <c r="V24" i="34" s="1"/>
  <c r="V12" i="36"/>
  <c r="P20" i="34"/>
  <c r="P21" i="34" s="1"/>
  <c r="P24" i="34" s="1"/>
  <c r="P12" i="36"/>
  <c r="M20" i="34"/>
  <c r="M21" i="34" s="1"/>
  <c r="M24" i="34" s="1"/>
  <c r="M12" i="36"/>
  <c r="O20" i="34"/>
  <c r="O21" i="34" s="1"/>
  <c r="O24" i="34" s="1"/>
  <c r="O12" i="36"/>
  <c r="D11" i="45"/>
  <c r="D11" i="17"/>
  <c r="D37" i="19"/>
  <c r="Z20" i="34"/>
  <c r="Z21" i="34" s="1"/>
  <c r="Z24" i="34" s="1"/>
  <c r="Z12" i="36"/>
  <c r="L20" i="34"/>
  <c r="L21" i="34" s="1"/>
  <c r="L24" i="34" s="1"/>
  <c r="L12" i="36"/>
  <c r="I20" i="34"/>
  <c r="I21" i="34" s="1"/>
  <c r="I24" i="34" s="1"/>
  <c r="I12" i="36"/>
  <c r="G20" i="34"/>
  <c r="G21" i="34" s="1"/>
  <c r="G24" i="34" s="1"/>
  <c r="G12" i="36"/>
  <c r="W20" i="34"/>
  <c r="W21" i="34" s="1"/>
  <c r="W24" i="34" s="1"/>
  <c r="W12" i="36"/>
  <c r="O12" i="51"/>
  <c r="O14" i="51" s="1"/>
  <c r="U20" i="34"/>
  <c r="U21" i="34" s="1"/>
  <c r="U24" i="34" s="1"/>
  <c r="U12" i="36"/>
  <c r="X20" i="34"/>
  <c r="X21" i="34" s="1"/>
  <c r="X24" i="34" s="1"/>
  <c r="X12" i="36"/>
  <c r="C38" i="50"/>
  <c r="B9" i="37"/>
  <c r="AA7" i="37"/>
  <c r="D20" i="34"/>
  <c r="D21" i="34" s="1"/>
  <c r="D24" i="34" s="1"/>
  <c r="D12" i="36"/>
  <c r="B9" i="51"/>
  <c r="AA7" i="51"/>
  <c r="E20" i="34"/>
  <c r="E21" i="34" s="1"/>
  <c r="E24" i="34" s="1"/>
  <c r="E12" i="36"/>
  <c r="C38" i="30"/>
  <c r="R20" i="34"/>
  <c r="R21" i="34" s="1"/>
  <c r="R24" i="34" s="1"/>
  <c r="R12" i="36"/>
  <c r="H20" i="34"/>
  <c r="H21" i="34" s="1"/>
  <c r="H24" i="34" s="1"/>
  <c r="H12" i="36"/>
  <c r="J20" i="34"/>
  <c r="J21" i="34" s="1"/>
  <c r="J24" i="34" s="1"/>
  <c r="J12" i="36"/>
  <c r="N20" i="34"/>
  <c r="N21" i="34" s="1"/>
  <c r="N24" i="34" s="1"/>
  <c r="N12" i="36"/>
  <c r="K20" i="34"/>
  <c r="K21" i="34" s="1"/>
  <c r="K24" i="34" s="1"/>
  <c r="K12" i="36"/>
  <c r="F20" i="34"/>
  <c r="F21" i="34" s="1"/>
  <c r="F24" i="34" s="1"/>
  <c r="F12" i="36"/>
  <c r="AA7" i="43"/>
  <c r="B9" i="43"/>
  <c r="Y20" i="34"/>
  <c r="Y21" i="34" s="1"/>
  <c r="Y24" i="34" s="1"/>
  <c r="Y12" i="36"/>
  <c r="S20" i="34"/>
  <c r="S21" i="34" s="1"/>
  <c r="S24" i="34" s="1"/>
  <c r="S12" i="36"/>
  <c r="AA17" i="33" l="1"/>
  <c r="AA14" i="37" s="1"/>
  <c r="R80" i="17"/>
  <c r="R75" i="17"/>
  <c r="R76" i="17" s="1"/>
  <c r="R11" i="17" s="1"/>
  <c r="M9" i="21"/>
  <c r="M10" i="21" s="1"/>
  <c r="P62" i="17"/>
  <c r="P64" i="17" s="1"/>
  <c r="P66" i="17" s="1"/>
  <c r="T39" i="17"/>
  <c r="S40" i="17"/>
  <c r="S65" i="17" s="1"/>
  <c r="Q71" i="45"/>
  <c r="R80" i="45"/>
  <c r="R75" i="45"/>
  <c r="R76" i="45" s="1"/>
  <c r="R11" i="45" s="1"/>
  <c r="R13" i="45" s="1"/>
  <c r="J9" i="21"/>
  <c r="J10" i="21" s="1"/>
  <c r="M62" i="17"/>
  <c r="M64" i="17" s="1"/>
  <c r="M66" i="17" s="1"/>
  <c r="O75" i="45"/>
  <c r="O76" i="45" s="1"/>
  <c r="O11" i="45" s="1"/>
  <c r="O13" i="45" s="1"/>
  <c r="O80" i="45"/>
  <c r="Q73" i="17"/>
  <c r="T39" i="45"/>
  <c r="S40" i="45"/>
  <c r="C12" i="30"/>
  <c r="D12" i="30" s="1"/>
  <c r="E12" i="30" s="1"/>
  <c r="G3" i="26"/>
  <c r="G3" i="49"/>
  <c r="G3" i="25"/>
  <c r="G3" i="48"/>
  <c r="H4" i="21"/>
  <c r="L6" i="17"/>
  <c r="F85" i="45"/>
  <c r="F86" i="45" s="1"/>
  <c r="F87" i="45" s="1"/>
  <c r="G9" i="45"/>
  <c r="G6" i="47"/>
  <c r="K8" i="45"/>
  <c r="AA17" i="34"/>
  <c r="B3" i="36"/>
  <c r="B19" i="34"/>
  <c r="AA19" i="34" s="1"/>
  <c r="F5" i="48"/>
  <c r="F5" i="49"/>
  <c r="F5" i="26"/>
  <c r="K8" i="17"/>
  <c r="G6" i="21"/>
  <c r="F5" i="25"/>
  <c r="G9" i="17"/>
  <c r="F85" i="17"/>
  <c r="F86" i="17" s="1"/>
  <c r="H4" i="47"/>
  <c r="L6" i="45"/>
  <c r="H7" i="45"/>
  <c r="D5" i="47"/>
  <c r="D7" i="47" s="1"/>
  <c r="D12" i="47" s="1"/>
  <c r="D13" i="47" s="1"/>
  <c r="E27" i="46"/>
  <c r="E28" i="46" s="1"/>
  <c r="C4" i="49"/>
  <c r="C8" i="49" s="1"/>
  <c r="C18" i="49" s="1"/>
  <c r="C4" i="25"/>
  <c r="C8" i="25" s="1"/>
  <c r="C18" i="25" s="1"/>
  <c r="D5" i="21"/>
  <c r="D7" i="21" s="1"/>
  <c r="D12" i="21" s="1"/>
  <c r="D13" i="21" s="1"/>
  <c r="C4" i="26"/>
  <c r="C8" i="26" s="1"/>
  <c r="C18" i="26" s="1"/>
  <c r="C4" i="48"/>
  <c r="C8" i="48" s="1"/>
  <c r="C18" i="48" s="1"/>
  <c r="E27" i="20"/>
  <c r="E28" i="20" s="1"/>
  <c r="H7" i="17"/>
  <c r="B25" i="50"/>
  <c r="E21" i="50"/>
  <c r="B25" i="30"/>
  <c r="E21" i="30"/>
  <c r="F89" i="17"/>
  <c r="F87" i="17"/>
  <c r="AA7" i="41"/>
  <c r="B9" i="41"/>
  <c r="AA9" i="41" s="1"/>
  <c r="E22" i="50"/>
  <c r="E22" i="30"/>
  <c r="C16" i="50"/>
  <c r="D31" i="29"/>
  <c r="D29" i="29"/>
  <c r="C16" i="30"/>
  <c r="C14" i="30"/>
  <c r="D14" i="30" s="1"/>
  <c r="E14" i="30" s="1"/>
  <c r="C14" i="50"/>
  <c r="D14" i="50" s="1"/>
  <c r="E14" i="50" s="1"/>
  <c r="K10" i="20"/>
  <c r="AA9" i="51"/>
  <c r="L10" i="46"/>
  <c r="F11" i="45"/>
  <c r="D13" i="45"/>
  <c r="D15" i="45" s="1"/>
  <c r="D42" i="45" s="1"/>
  <c r="D46" i="45" s="1"/>
  <c r="F11" i="17"/>
  <c r="D13" i="17"/>
  <c r="D15" i="17" s="1"/>
  <c r="D42" i="17" s="1"/>
  <c r="D46" i="17" s="1"/>
  <c r="AA9" i="37"/>
  <c r="B3" i="37"/>
  <c r="AA9" i="43"/>
  <c r="S65" i="45" l="1"/>
  <c r="O62" i="45"/>
  <c r="O64" i="45" s="1"/>
  <c r="O66" i="45" s="1"/>
  <c r="L9" i="47"/>
  <c r="L10" i="47" s="1"/>
  <c r="Q73" i="45"/>
  <c r="Q80" i="17"/>
  <c r="Q75" i="17"/>
  <c r="Q76" i="17" s="1"/>
  <c r="Q11" i="17" s="1"/>
  <c r="U39" i="17"/>
  <c r="T40" i="17"/>
  <c r="T65" i="17" s="1"/>
  <c r="T71" i="17" s="1"/>
  <c r="T73" i="17" s="1"/>
  <c r="S71" i="17"/>
  <c r="N14" i="49"/>
  <c r="N16" i="49" s="1"/>
  <c r="N14" i="25"/>
  <c r="N16" i="25" s="1"/>
  <c r="N14" i="26"/>
  <c r="N16" i="26" s="1"/>
  <c r="N14" i="48"/>
  <c r="N16" i="48" s="1"/>
  <c r="R13" i="17"/>
  <c r="U39" i="45"/>
  <c r="T40" i="45"/>
  <c r="T65" i="45" s="1"/>
  <c r="T71" i="45" s="1"/>
  <c r="T73" i="45" s="1"/>
  <c r="R62" i="45"/>
  <c r="R64" i="45" s="1"/>
  <c r="R66" i="45" s="1"/>
  <c r="O9" i="47"/>
  <c r="O10" i="47" s="1"/>
  <c r="F89" i="45"/>
  <c r="I7" i="17"/>
  <c r="E5" i="21"/>
  <c r="E7" i="21" s="1"/>
  <c r="E12" i="21" s="1"/>
  <c r="E13" i="21" s="1"/>
  <c r="F27" i="20"/>
  <c r="F28" i="20" s="1"/>
  <c r="D4" i="49"/>
  <c r="D8" i="49" s="1"/>
  <c r="D18" i="49" s="1"/>
  <c r="D4" i="25"/>
  <c r="D8" i="25" s="1"/>
  <c r="D18" i="25" s="1"/>
  <c r="D19" i="25" s="1"/>
  <c r="D4" i="26"/>
  <c r="D8" i="26" s="1"/>
  <c r="D18" i="26" s="1"/>
  <c r="D4" i="48"/>
  <c r="D8" i="48" s="1"/>
  <c r="D18" i="48" s="1"/>
  <c r="D32" i="48"/>
  <c r="C19" i="48"/>
  <c r="G5" i="48"/>
  <c r="H6" i="21"/>
  <c r="G5" i="26"/>
  <c r="G5" i="49"/>
  <c r="L8" i="17"/>
  <c r="G5" i="25"/>
  <c r="H9" i="45"/>
  <c r="G85" i="45"/>
  <c r="G86" i="45" s="1"/>
  <c r="G15" i="45"/>
  <c r="G42" i="45" s="1"/>
  <c r="G46" i="45" s="1"/>
  <c r="G51" i="45" s="1"/>
  <c r="H3" i="26"/>
  <c r="H3" i="49"/>
  <c r="H3" i="25"/>
  <c r="H3" i="48"/>
  <c r="I4" i="21"/>
  <c r="M6" i="17"/>
  <c r="AA3" i="36"/>
  <c r="B9" i="36"/>
  <c r="AA9" i="36" s="1"/>
  <c r="D32" i="26"/>
  <c r="C19" i="26"/>
  <c r="I7" i="45"/>
  <c r="E5" i="47"/>
  <c r="E7" i="47" s="1"/>
  <c r="E12" i="47" s="1"/>
  <c r="E13" i="47" s="1"/>
  <c r="F27" i="46"/>
  <c r="F28" i="46" s="1"/>
  <c r="D32" i="25"/>
  <c r="C19" i="25"/>
  <c r="I4" i="47"/>
  <c r="M6" i="45"/>
  <c r="H6" i="47"/>
  <c r="L8" i="45"/>
  <c r="G15" i="17"/>
  <c r="G42" i="17" s="1"/>
  <c r="G46" i="17" s="1"/>
  <c r="G51" i="17" s="1"/>
  <c r="G85" i="17"/>
  <c r="G86" i="17" s="1"/>
  <c r="H9" i="17"/>
  <c r="B13" i="41"/>
  <c r="B15" i="41" s="1"/>
  <c r="AA15" i="41" s="1"/>
  <c r="F88" i="45"/>
  <c r="F93" i="45" s="1"/>
  <c r="D97" i="45" s="1"/>
  <c r="F92" i="45"/>
  <c r="C25" i="30"/>
  <c r="D25" i="30" s="1"/>
  <c r="C25" i="50"/>
  <c r="D25" i="50" s="1"/>
  <c r="D16" i="50"/>
  <c r="E16" i="50" s="1"/>
  <c r="F21" i="50"/>
  <c r="C26" i="50"/>
  <c r="D26" i="50" s="1"/>
  <c r="F20" i="50"/>
  <c r="F22" i="50"/>
  <c r="E32" i="26"/>
  <c r="D19" i="26"/>
  <c r="D16" i="30"/>
  <c r="E16" i="30" s="1"/>
  <c r="F21" i="30"/>
  <c r="F20" i="30"/>
  <c r="C26" i="30"/>
  <c r="D26" i="30" s="1"/>
  <c r="F22" i="30"/>
  <c r="F88" i="17"/>
  <c r="F93" i="17" s="1"/>
  <c r="D97" i="17" s="1"/>
  <c r="F92" i="17"/>
  <c r="L10" i="20"/>
  <c r="M10" i="20" s="1"/>
  <c r="N10" i="20" s="1"/>
  <c r="B10" i="36"/>
  <c r="AA3" i="37"/>
  <c r="B14" i="48"/>
  <c r="B14" i="26"/>
  <c r="B14" i="49"/>
  <c r="B14" i="25"/>
  <c r="F13" i="17"/>
  <c r="F13" i="45"/>
  <c r="M10" i="46"/>
  <c r="AA13" i="41" l="1"/>
  <c r="T80" i="45"/>
  <c r="T75" i="45"/>
  <c r="T76" i="45" s="1"/>
  <c r="T11" i="45" s="1"/>
  <c r="T13" i="45" s="1"/>
  <c r="V39" i="45"/>
  <c r="U40" i="45"/>
  <c r="U65" i="45" s="1"/>
  <c r="U71" i="45" s="1"/>
  <c r="U73" i="45" s="1"/>
  <c r="O9" i="21"/>
  <c r="O10" i="21" s="1"/>
  <c r="R62" i="17"/>
  <c r="R64" i="17" s="1"/>
  <c r="R66" i="17" s="1"/>
  <c r="S73" i="17"/>
  <c r="Q80" i="45"/>
  <c r="Q75" i="45"/>
  <c r="Q76" i="45" s="1"/>
  <c r="Q11" i="45" s="1"/>
  <c r="T80" i="17"/>
  <c r="T75" i="17"/>
  <c r="T76" i="17" s="1"/>
  <c r="T11" i="17" s="1"/>
  <c r="V39" i="17"/>
  <c r="U40" i="17"/>
  <c r="U65" i="17" s="1"/>
  <c r="M14" i="48"/>
  <c r="M16" i="48" s="1"/>
  <c r="M14" i="26"/>
  <c r="M16" i="26" s="1"/>
  <c r="M14" i="25"/>
  <c r="M16" i="25" s="1"/>
  <c r="Q13" i="17"/>
  <c r="M14" i="49"/>
  <c r="M16" i="49" s="1"/>
  <c r="S71" i="45"/>
  <c r="E32" i="25"/>
  <c r="G89" i="45"/>
  <c r="G87" i="45"/>
  <c r="G53" i="45"/>
  <c r="G57" i="45" s="1"/>
  <c r="E7" i="46"/>
  <c r="E15" i="46" s="1"/>
  <c r="E30" i="46" s="1"/>
  <c r="B17" i="41"/>
  <c r="AA17" i="41" s="1"/>
  <c r="M8" i="17"/>
  <c r="H5" i="48"/>
  <c r="H5" i="49"/>
  <c r="H5" i="26"/>
  <c r="H5" i="25"/>
  <c r="I6" i="21"/>
  <c r="J7" i="45"/>
  <c r="F5" i="47"/>
  <c r="F7" i="47" s="1"/>
  <c r="F12" i="47" s="1"/>
  <c r="F13" i="47" s="1"/>
  <c r="G27" i="46"/>
  <c r="G28" i="46" s="1"/>
  <c r="G53" i="17"/>
  <c r="G57" i="17" s="1"/>
  <c r="E7" i="20"/>
  <c r="E15" i="20" s="1"/>
  <c r="E30" i="20" s="1"/>
  <c r="H15" i="45"/>
  <c r="H42" i="45" s="1"/>
  <c r="H46" i="45" s="1"/>
  <c r="H51" i="45" s="1"/>
  <c r="I9" i="45"/>
  <c r="H85" i="45"/>
  <c r="H86" i="45" s="1"/>
  <c r="E32" i="48"/>
  <c r="D19" i="48"/>
  <c r="J4" i="47"/>
  <c r="N6" i="45"/>
  <c r="I3" i="26"/>
  <c r="I3" i="49"/>
  <c r="I3" i="25"/>
  <c r="I3" i="48"/>
  <c r="J4" i="21"/>
  <c r="N6" i="17"/>
  <c r="G87" i="17"/>
  <c r="G89" i="17"/>
  <c r="M8" i="45"/>
  <c r="I6" i="47"/>
  <c r="H85" i="17"/>
  <c r="H86" i="17" s="1"/>
  <c r="H89" i="17" s="1"/>
  <c r="H15" i="17"/>
  <c r="H42" i="17" s="1"/>
  <c r="H46" i="17" s="1"/>
  <c r="H51" i="17" s="1"/>
  <c r="I9" i="17"/>
  <c r="E4" i="26"/>
  <c r="E8" i="26" s="1"/>
  <c r="E18" i="26" s="1"/>
  <c r="E4" i="25"/>
  <c r="E8" i="25" s="1"/>
  <c r="E18" i="25" s="1"/>
  <c r="G27" i="20"/>
  <c r="G28" i="20" s="1"/>
  <c r="E4" i="49"/>
  <c r="E8" i="49" s="1"/>
  <c r="E18" i="49" s="1"/>
  <c r="J7" i="17"/>
  <c r="E4" i="48"/>
  <c r="E8" i="48" s="1"/>
  <c r="E18" i="48" s="1"/>
  <c r="F32" i="48" s="1"/>
  <c r="F5" i="21"/>
  <c r="F7" i="21" s="1"/>
  <c r="F12" i="21" s="1"/>
  <c r="F13" i="21" s="1"/>
  <c r="E26" i="50"/>
  <c r="F26" i="50"/>
  <c r="E97" i="17"/>
  <c r="F25" i="50"/>
  <c r="D27" i="50"/>
  <c r="E25" i="50"/>
  <c r="F25" i="30"/>
  <c r="D27" i="30"/>
  <c r="E25" i="30"/>
  <c r="E26" i="30"/>
  <c r="F26" i="30"/>
  <c r="E97" i="45"/>
  <c r="E19" i="48"/>
  <c r="O10" i="20"/>
  <c r="C9" i="21"/>
  <c r="F15" i="17"/>
  <c r="F62" i="17"/>
  <c r="F15" i="45"/>
  <c r="C9" i="47"/>
  <c r="F62" i="45"/>
  <c r="B16" i="25"/>
  <c r="B16" i="49"/>
  <c r="N10" i="46"/>
  <c r="B16" i="26"/>
  <c r="B16" i="48"/>
  <c r="B20" i="34"/>
  <c r="B12" i="36"/>
  <c r="AA12" i="36" s="1"/>
  <c r="AA10" i="36"/>
  <c r="B3" i="42" l="1"/>
  <c r="AA3" i="42" s="1"/>
  <c r="U80" i="45"/>
  <c r="U75" i="45"/>
  <c r="U76" i="45" s="1"/>
  <c r="U11" i="45" s="1"/>
  <c r="U13" i="45" s="1"/>
  <c r="U71" i="17"/>
  <c r="W39" i="45"/>
  <c r="V40" i="45"/>
  <c r="V65" i="45" s="1"/>
  <c r="V71" i="45" s="1"/>
  <c r="V73" i="45" s="1"/>
  <c r="N9" i="21"/>
  <c r="N10" i="21" s="1"/>
  <c r="Q62" i="17"/>
  <c r="Q64" i="17" s="1"/>
  <c r="Q66" i="17" s="1"/>
  <c r="P14" i="26"/>
  <c r="P16" i="26" s="1"/>
  <c r="P14" i="25"/>
  <c r="P16" i="25" s="1"/>
  <c r="P14" i="49"/>
  <c r="P16" i="49" s="1"/>
  <c r="P14" i="48"/>
  <c r="P16" i="48" s="1"/>
  <c r="T13" i="17"/>
  <c r="Q13" i="45"/>
  <c r="S75" i="17"/>
  <c r="S76" i="17" s="1"/>
  <c r="S11" i="17" s="1"/>
  <c r="S80" i="17"/>
  <c r="T62" i="45"/>
  <c r="T64" i="45" s="1"/>
  <c r="T66" i="45" s="1"/>
  <c r="Q9" i="47"/>
  <c r="Q10" i="47" s="1"/>
  <c r="W39" i="17"/>
  <c r="V40" i="17"/>
  <c r="V65" i="17" s="1"/>
  <c r="V71" i="17" s="1"/>
  <c r="V73" i="17" s="1"/>
  <c r="S73" i="45"/>
  <c r="H87" i="45"/>
  <c r="H89" i="45"/>
  <c r="J9" i="17"/>
  <c r="I85" i="17"/>
  <c r="I86" i="17" s="1"/>
  <c r="I15" i="17"/>
  <c r="I42" i="17" s="1"/>
  <c r="I46" i="17" s="1"/>
  <c r="I51" i="17" s="1"/>
  <c r="F7" i="46"/>
  <c r="F15" i="46" s="1"/>
  <c r="F30" i="46" s="1"/>
  <c r="H53" i="45"/>
  <c r="H57" i="45" s="1"/>
  <c r="E34" i="20"/>
  <c r="E29" i="20"/>
  <c r="E32" i="20" s="1"/>
  <c r="E33" i="20" s="1"/>
  <c r="J6" i="47"/>
  <c r="N8" i="45"/>
  <c r="G88" i="17"/>
  <c r="G93" i="17" s="1"/>
  <c r="G92" i="17"/>
  <c r="I85" i="45"/>
  <c r="I86" i="45" s="1"/>
  <c r="I87" i="45" s="1"/>
  <c r="I15" i="45"/>
  <c r="I42" i="45" s="1"/>
  <c r="I46" i="45" s="1"/>
  <c r="I51" i="45" s="1"/>
  <c r="J9" i="45"/>
  <c r="F7" i="20"/>
  <c r="F15" i="20" s="1"/>
  <c r="F30" i="20" s="1"/>
  <c r="H53" i="17"/>
  <c r="H57" i="17" s="1"/>
  <c r="F32" i="26"/>
  <c r="E19" i="26"/>
  <c r="H87" i="17"/>
  <c r="I5" i="26"/>
  <c r="J6" i="21"/>
  <c r="N8" i="17"/>
  <c r="I5" i="25"/>
  <c r="I5" i="49"/>
  <c r="I5" i="48"/>
  <c r="H27" i="46"/>
  <c r="H28" i="46" s="1"/>
  <c r="G5" i="47"/>
  <c r="G7" i="47" s="1"/>
  <c r="G12" i="47" s="1"/>
  <c r="G13" i="47" s="1"/>
  <c r="K7" i="45"/>
  <c r="E34" i="46"/>
  <c r="E29" i="46"/>
  <c r="E32" i="46" s="1"/>
  <c r="E33" i="46" s="1"/>
  <c r="O6" i="45"/>
  <c r="K4" i="47"/>
  <c r="F4" i="49"/>
  <c r="F8" i="49" s="1"/>
  <c r="F18" i="49" s="1"/>
  <c r="F4" i="48"/>
  <c r="F8" i="48" s="1"/>
  <c r="F18" i="48" s="1"/>
  <c r="H27" i="20"/>
  <c r="H28" i="20" s="1"/>
  <c r="F4" i="26"/>
  <c r="F8" i="26" s="1"/>
  <c r="F18" i="26" s="1"/>
  <c r="F19" i="26" s="1"/>
  <c r="G5" i="21"/>
  <c r="G7" i="21" s="1"/>
  <c r="G12" i="21" s="1"/>
  <c r="G13" i="21" s="1"/>
  <c r="K7" i="17"/>
  <c r="F4" i="25"/>
  <c r="F8" i="25" s="1"/>
  <c r="F18" i="25" s="1"/>
  <c r="G32" i="25" s="1"/>
  <c r="G88" i="45"/>
  <c r="G93" i="45" s="1"/>
  <c r="G92" i="45"/>
  <c r="F32" i="25"/>
  <c r="E19" i="25"/>
  <c r="J3" i="26"/>
  <c r="J3" i="49"/>
  <c r="J3" i="25"/>
  <c r="J3" i="48"/>
  <c r="K4" i="21"/>
  <c r="O6" i="17"/>
  <c r="I89" i="45"/>
  <c r="E27" i="30"/>
  <c r="F27" i="30"/>
  <c r="B37" i="30"/>
  <c r="B37" i="50"/>
  <c r="E27" i="50"/>
  <c r="F27" i="50"/>
  <c r="H88" i="17"/>
  <c r="H93" i="17" s="1"/>
  <c r="H92" i="17"/>
  <c r="P10" i="20"/>
  <c r="F64" i="45"/>
  <c r="F42" i="45"/>
  <c r="F42" i="17"/>
  <c r="O10" i="46"/>
  <c r="B18" i="25"/>
  <c r="C10" i="47"/>
  <c r="C10" i="21"/>
  <c r="B18" i="49"/>
  <c r="B21" i="34"/>
  <c r="AA20" i="34"/>
  <c r="B18" i="26"/>
  <c r="F64" i="17"/>
  <c r="B18" i="48"/>
  <c r="B9" i="42" l="1"/>
  <c r="B3" i="51" s="1"/>
  <c r="N9" i="47"/>
  <c r="Q62" i="45"/>
  <c r="Q9" i="21"/>
  <c r="Q10" i="21" s="1"/>
  <c r="T62" i="17"/>
  <c r="T64" i="17" s="1"/>
  <c r="T66" i="17" s="1"/>
  <c r="X39" i="45"/>
  <c r="W40" i="45"/>
  <c r="W65" i="45" s="1"/>
  <c r="W71" i="45" s="1"/>
  <c r="W73" i="45" s="1"/>
  <c r="F19" i="25"/>
  <c r="O14" i="49"/>
  <c r="O14" i="25"/>
  <c r="O14" i="26"/>
  <c r="O14" i="48"/>
  <c r="S13" i="17"/>
  <c r="V80" i="17"/>
  <c r="V75" i="17"/>
  <c r="V76" i="17" s="1"/>
  <c r="V11" i="17" s="1"/>
  <c r="X39" i="17"/>
  <c r="W40" i="17"/>
  <c r="W65" i="17" s="1"/>
  <c r="W71" i="17" s="1"/>
  <c r="W73" i="17" s="1"/>
  <c r="R9" i="47"/>
  <c r="R10" i="47" s="1"/>
  <c r="U62" i="45"/>
  <c r="U64" i="45" s="1"/>
  <c r="U66" i="45" s="1"/>
  <c r="S80" i="45"/>
  <c r="S75" i="45"/>
  <c r="S76" i="45" s="1"/>
  <c r="S11" i="45" s="1"/>
  <c r="V80" i="45"/>
  <c r="V75" i="45"/>
  <c r="V76" i="45" s="1"/>
  <c r="V11" i="45" s="1"/>
  <c r="V13" i="45" s="1"/>
  <c r="U73" i="17"/>
  <c r="G4" i="49"/>
  <c r="G8" i="49" s="1"/>
  <c r="G18" i="49" s="1"/>
  <c r="L7" i="17"/>
  <c r="I27" i="20"/>
  <c r="I28" i="20" s="1"/>
  <c r="G4" i="25"/>
  <c r="G8" i="25" s="1"/>
  <c r="G18" i="25" s="1"/>
  <c r="G4" i="26"/>
  <c r="G8" i="26" s="1"/>
  <c r="G18" i="26" s="1"/>
  <c r="H5" i="21"/>
  <c r="H7" i="21" s="1"/>
  <c r="H12" i="21" s="1"/>
  <c r="H13" i="21" s="1"/>
  <c r="G4" i="48"/>
  <c r="G8" i="48" s="1"/>
  <c r="G18" i="48" s="1"/>
  <c r="F34" i="20"/>
  <c r="F29" i="20"/>
  <c r="F32" i="20" s="1"/>
  <c r="F33" i="20" s="1"/>
  <c r="J85" i="45"/>
  <c r="J86" i="45" s="1"/>
  <c r="J15" i="45"/>
  <c r="J42" i="45" s="1"/>
  <c r="J46" i="45" s="1"/>
  <c r="J51" i="45" s="1"/>
  <c r="K9" i="45"/>
  <c r="P6" i="45"/>
  <c r="L4" i="47"/>
  <c r="H5" i="47"/>
  <c r="H7" i="47" s="1"/>
  <c r="H12" i="47" s="1"/>
  <c r="H13" i="47" s="1"/>
  <c r="I27" i="46"/>
  <c r="I28" i="46" s="1"/>
  <c r="L7" i="45"/>
  <c r="K6" i="47"/>
  <c r="O8" i="45"/>
  <c r="F29" i="46"/>
  <c r="F32" i="46" s="1"/>
  <c r="F33" i="46" s="1"/>
  <c r="F34" i="46"/>
  <c r="G7" i="20"/>
  <c r="G15" i="20" s="1"/>
  <c r="G30" i="20" s="1"/>
  <c r="I53" i="17"/>
  <c r="I57" i="17" s="1"/>
  <c r="J5" i="49"/>
  <c r="J5" i="25"/>
  <c r="J5" i="48"/>
  <c r="O8" i="17"/>
  <c r="J5" i="26"/>
  <c r="K6" i="21"/>
  <c r="I87" i="17"/>
  <c r="I89" i="17"/>
  <c r="F19" i="48"/>
  <c r="G32" i="48"/>
  <c r="K3" i="48"/>
  <c r="K3" i="49"/>
  <c r="K3" i="26"/>
  <c r="K3" i="25"/>
  <c r="P6" i="17"/>
  <c r="L4" i="21"/>
  <c r="G32" i="26"/>
  <c r="J85" i="17"/>
  <c r="J86" i="17" s="1"/>
  <c r="K9" i="17"/>
  <c r="J15" i="17"/>
  <c r="J42" i="17" s="1"/>
  <c r="J46" i="17" s="1"/>
  <c r="J51" i="17" s="1"/>
  <c r="I53" i="45"/>
  <c r="I57" i="45" s="1"/>
  <c r="G7" i="46"/>
  <c r="G15" i="46" s="1"/>
  <c r="G30" i="46" s="1"/>
  <c r="H88" i="45"/>
  <c r="H93" i="45" s="1"/>
  <c r="H92" i="45"/>
  <c r="C37" i="50"/>
  <c r="C39" i="50" s="1"/>
  <c r="B39" i="50"/>
  <c r="B41" i="50" s="1"/>
  <c r="C37" i="30"/>
  <c r="C39" i="30" s="1"/>
  <c r="B39" i="30"/>
  <c r="B41" i="30" s="1"/>
  <c r="I88" i="45"/>
  <c r="I93" i="45" s="1"/>
  <c r="I92" i="45"/>
  <c r="Q10" i="20"/>
  <c r="B19" i="25"/>
  <c r="C32" i="25"/>
  <c r="B19" i="48"/>
  <c r="C32" i="48"/>
  <c r="C12" i="21"/>
  <c r="P10" i="46"/>
  <c r="F46" i="17"/>
  <c r="F46" i="45"/>
  <c r="C12" i="47"/>
  <c r="F66" i="17"/>
  <c r="C32" i="26"/>
  <c r="B19" i="26"/>
  <c r="B24" i="34"/>
  <c r="AA24" i="34" s="1"/>
  <c r="AA21" i="34"/>
  <c r="F66" i="45"/>
  <c r="AA9" i="42" l="1"/>
  <c r="B3" i="43"/>
  <c r="B12" i="43" s="1"/>
  <c r="W75" i="17"/>
  <c r="W76" i="17" s="1"/>
  <c r="W11" i="17" s="1"/>
  <c r="W80" i="17"/>
  <c r="O16" i="48"/>
  <c r="O16" i="26"/>
  <c r="W80" i="45"/>
  <c r="W75" i="45"/>
  <c r="W76" i="45" s="1"/>
  <c r="W11" i="45" s="1"/>
  <c r="W13" i="45" s="1"/>
  <c r="V13" i="17"/>
  <c r="R14" i="25"/>
  <c r="R16" i="25" s="1"/>
  <c r="R14" i="48"/>
  <c r="R16" i="48" s="1"/>
  <c r="R14" i="26"/>
  <c r="R16" i="26" s="1"/>
  <c r="R14" i="49"/>
  <c r="R16" i="49" s="1"/>
  <c r="Y39" i="45"/>
  <c r="X40" i="45"/>
  <c r="X65" i="45" s="1"/>
  <c r="X71" i="45" s="1"/>
  <c r="X73" i="45" s="1"/>
  <c r="P9" i="21"/>
  <c r="S62" i="17"/>
  <c r="O16" i="49"/>
  <c r="O16" i="25"/>
  <c r="S9" i="47"/>
  <c r="S10" i="47" s="1"/>
  <c r="V62" i="45"/>
  <c r="V64" i="45" s="1"/>
  <c r="V66" i="45" s="1"/>
  <c r="Q64" i="45"/>
  <c r="Y39" i="17"/>
  <c r="X40" i="17"/>
  <c r="X65" i="17" s="1"/>
  <c r="X71" i="17" s="1"/>
  <c r="X73" i="17" s="1"/>
  <c r="U75" i="17"/>
  <c r="U76" i="17" s="1"/>
  <c r="U11" i="17" s="1"/>
  <c r="U80" i="17"/>
  <c r="S13" i="45"/>
  <c r="N10" i="47"/>
  <c r="L6" i="47"/>
  <c r="P8" i="45"/>
  <c r="M7" i="45"/>
  <c r="J27" i="46"/>
  <c r="J28" i="46" s="1"/>
  <c r="I5" i="47"/>
  <c r="I7" i="47" s="1"/>
  <c r="I12" i="47" s="1"/>
  <c r="I13" i="47" s="1"/>
  <c r="I88" i="17"/>
  <c r="I93" i="17" s="1"/>
  <c r="I92" i="17"/>
  <c r="J89" i="45"/>
  <c r="J87" i="45"/>
  <c r="L3" i="25"/>
  <c r="L3" i="48"/>
  <c r="L3" i="49"/>
  <c r="L3" i="26"/>
  <c r="Q6" i="17"/>
  <c r="M4" i="21"/>
  <c r="Q6" i="45"/>
  <c r="M4" i="47"/>
  <c r="G19" i="48"/>
  <c r="H32" i="48"/>
  <c r="J53" i="45"/>
  <c r="J57" i="45" s="1"/>
  <c r="H7" i="46"/>
  <c r="H15" i="46" s="1"/>
  <c r="H30" i="46" s="1"/>
  <c r="G34" i="46"/>
  <c r="G29" i="46"/>
  <c r="G32" i="46" s="1"/>
  <c r="G33" i="46" s="1"/>
  <c r="G19" i="26"/>
  <c r="H32" i="26"/>
  <c r="K85" i="45"/>
  <c r="K86" i="45" s="1"/>
  <c r="K15" i="45"/>
  <c r="K42" i="45" s="1"/>
  <c r="K46" i="45" s="1"/>
  <c r="K51" i="45" s="1"/>
  <c r="L9" i="45"/>
  <c r="K5" i="25"/>
  <c r="P8" i="17"/>
  <c r="K5" i="49"/>
  <c r="K5" i="26"/>
  <c r="K5" i="48"/>
  <c r="L6" i="21"/>
  <c r="G19" i="25"/>
  <c r="H32" i="25"/>
  <c r="K15" i="17"/>
  <c r="K42" i="17" s="1"/>
  <c r="K46" i="17" s="1"/>
  <c r="K51" i="17" s="1"/>
  <c r="K85" i="17"/>
  <c r="K86" i="17" s="1"/>
  <c r="K87" i="17" s="1"/>
  <c r="L9" i="17"/>
  <c r="G34" i="20"/>
  <c r="G29" i="20"/>
  <c r="G32" i="20" s="1"/>
  <c r="G33" i="20" s="1"/>
  <c r="H4" i="25"/>
  <c r="H8" i="25" s="1"/>
  <c r="H18" i="25" s="1"/>
  <c r="H4" i="26"/>
  <c r="H8" i="26" s="1"/>
  <c r="H18" i="26" s="1"/>
  <c r="M7" i="17"/>
  <c r="I5" i="21"/>
  <c r="I7" i="21" s="1"/>
  <c r="I12" i="21" s="1"/>
  <c r="I13" i="21" s="1"/>
  <c r="J27" i="20"/>
  <c r="J28" i="20" s="1"/>
  <c r="H4" i="48"/>
  <c r="H8" i="48" s="1"/>
  <c r="H18" i="48" s="1"/>
  <c r="H4" i="49"/>
  <c r="H8" i="49" s="1"/>
  <c r="H18" i="49" s="1"/>
  <c r="J53" i="17"/>
  <c r="J57" i="17" s="1"/>
  <c r="H7" i="20"/>
  <c r="H15" i="20" s="1"/>
  <c r="H30" i="20" s="1"/>
  <c r="J89" i="17"/>
  <c r="J87" i="17"/>
  <c r="AA3" i="51"/>
  <c r="B12" i="51"/>
  <c r="R10" i="20"/>
  <c r="S10" i="20" s="1"/>
  <c r="F51" i="45"/>
  <c r="F51" i="17"/>
  <c r="Q10" i="46"/>
  <c r="C13" i="21"/>
  <c r="C13" i="47"/>
  <c r="AA3" i="43" l="1"/>
  <c r="X80" i="45"/>
  <c r="X75" i="45"/>
  <c r="X76" i="45" s="1"/>
  <c r="X11" i="45" s="1"/>
  <c r="P10" i="21"/>
  <c r="W62" i="45"/>
  <c r="W64" i="45" s="1"/>
  <c r="W66" i="45" s="1"/>
  <c r="T9" i="47"/>
  <c r="T10" i="47" s="1"/>
  <c r="Z39" i="45"/>
  <c r="Y40" i="45"/>
  <c r="Y65" i="45" s="1"/>
  <c r="Y71" i="45" s="1"/>
  <c r="Y73" i="45" s="1"/>
  <c r="P9" i="47"/>
  <c r="S62" i="45"/>
  <c r="X80" i="17"/>
  <c r="X75" i="17"/>
  <c r="X76" i="17" s="1"/>
  <c r="X11" i="17" s="1"/>
  <c r="S9" i="21"/>
  <c r="S10" i="21" s="1"/>
  <c r="V62" i="17"/>
  <c r="V64" i="17" s="1"/>
  <c r="V66" i="17" s="1"/>
  <c r="Q66" i="45"/>
  <c r="Z39" i="17"/>
  <c r="Y40" i="17"/>
  <c r="Y65" i="17" s="1"/>
  <c r="Y71" i="17" s="1"/>
  <c r="Y73" i="17" s="1"/>
  <c r="S64" i="17"/>
  <c r="U13" i="17"/>
  <c r="Q14" i="25"/>
  <c r="Q14" i="49"/>
  <c r="Q14" i="26"/>
  <c r="Q14" i="48"/>
  <c r="S14" i="49"/>
  <c r="S16" i="49" s="1"/>
  <c r="W13" i="17"/>
  <c r="S14" i="26"/>
  <c r="S16" i="26" s="1"/>
  <c r="S14" i="25"/>
  <c r="S16" i="25" s="1"/>
  <c r="S14" i="48"/>
  <c r="S16" i="48" s="1"/>
  <c r="L15" i="17"/>
  <c r="L42" i="17" s="1"/>
  <c r="L46" i="17" s="1"/>
  <c r="L51" i="17" s="1"/>
  <c r="M9" i="17"/>
  <c r="L85" i="17"/>
  <c r="L86" i="17" s="1"/>
  <c r="K53" i="17"/>
  <c r="K57" i="17" s="1"/>
  <c r="I7" i="20"/>
  <c r="I15" i="20" s="1"/>
  <c r="I30" i="20" s="1"/>
  <c r="M3" i="25"/>
  <c r="M3" i="48"/>
  <c r="M3" i="49"/>
  <c r="M3" i="26"/>
  <c r="R6" i="17"/>
  <c r="N4" i="21"/>
  <c r="I7" i="46"/>
  <c r="I15" i="46" s="1"/>
  <c r="I30" i="46" s="1"/>
  <c r="K53" i="45"/>
  <c r="K57" i="45" s="1"/>
  <c r="J88" i="17"/>
  <c r="J93" i="17" s="1"/>
  <c r="J92" i="17"/>
  <c r="J88" i="45"/>
  <c r="J93" i="45" s="1"/>
  <c r="J92" i="45"/>
  <c r="H29" i="20"/>
  <c r="H32" i="20" s="1"/>
  <c r="H33" i="20" s="1"/>
  <c r="H34" i="20"/>
  <c r="I32" i="48"/>
  <c r="H19" i="48"/>
  <c r="H19" i="26"/>
  <c r="I32" i="26"/>
  <c r="J5" i="47"/>
  <c r="J7" i="47" s="1"/>
  <c r="J12" i="47" s="1"/>
  <c r="J13" i="47" s="1"/>
  <c r="N7" i="45"/>
  <c r="K27" i="46"/>
  <c r="K28" i="46" s="1"/>
  <c r="N4" i="47"/>
  <c r="R6" i="45"/>
  <c r="K89" i="45"/>
  <c r="K87" i="45"/>
  <c r="I4" i="49"/>
  <c r="I8" i="49" s="1"/>
  <c r="I18" i="49" s="1"/>
  <c r="K27" i="20"/>
  <c r="K28" i="20" s="1"/>
  <c r="I4" i="48"/>
  <c r="I8" i="48" s="1"/>
  <c r="I18" i="48" s="1"/>
  <c r="I4" i="26"/>
  <c r="I8" i="26" s="1"/>
  <c r="I18" i="26" s="1"/>
  <c r="J5" i="21"/>
  <c r="J7" i="21" s="1"/>
  <c r="J12" i="21" s="1"/>
  <c r="J13" i="21" s="1"/>
  <c r="I4" i="25"/>
  <c r="I8" i="25" s="1"/>
  <c r="I18" i="25" s="1"/>
  <c r="J32" i="25" s="1"/>
  <c r="N7" i="17"/>
  <c r="K89" i="17"/>
  <c r="H19" i="25"/>
  <c r="I32" i="25"/>
  <c r="M6" i="47"/>
  <c r="Q8" i="45"/>
  <c r="L5" i="26"/>
  <c r="L5" i="25"/>
  <c r="L5" i="49"/>
  <c r="M6" i="21"/>
  <c r="Q8" i="17"/>
  <c r="L5" i="48"/>
  <c r="L15" i="45"/>
  <c r="L42" i="45" s="1"/>
  <c r="L46" i="45" s="1"/>
  <c r="L85" i="45"/>
  <c r="L86" i="45" s="1"/>
  <c r="L87" i="45" s="1"/>
  <c r="M9" i="45"/>
  <c r="H29" i="46"/>
  <c r="H32" i="46" s="1"/>
  <c r="H33" i="46" s="1"/>
  <c r="H34" i="46"/>
  <c r="AA12" i="51"/>
  <c r="AA14" i="51" s="1"/>
  <c r="B14" i="51"/>
  <c r="AA12" i="43"/>
  <c r="AA14" i="43" s="1"/>
  <c r="B14" i="43"/>
  <c r="K88" i="17"/>
  <c r="K93" i="17" s="1"/>
  <c r="K92" i="17"/>
  <c r="T10" i="20"/>
  <c r="U10" i="20" s="1"/>
  <c r="F53" i="17"/>
  <c r="D7" i="20"/>
  <c r="R10" i="46"/>
  <c r="F53" i="45"/>
  <c r="F57" i="45" s="1"/>
  <c r="D7" i="46"/>
  <c r="Q16" i="26" l="1"/>
  <c r="T9" i="21"/>
  <c r="T10" i="21" s="1"/>
  <c r="W62" i="17"/>
  <c r="W64" i="17" s="1"/>
  <c r="W66" i="17" s="1"/>
  <c r="Q16" i="48"/>
  <c r="X13" i="17"/>
  <c r="T14" i="26"/>
  <c r="T16" i="26" s="1"/>
  <c r="T14" i="48"/>
  <c r="T16" i="48" s="1"/>
  <c r="T14" i="49"/>
  <c r="T16" i="49" s="1"/>
  <c r="T14" i="25"/>
  <c r="T16" i="25" s="1"/>
  <c r="Y75" i="45"/>
  <c r="Y76" i="45" s="1"/>
  <c r="Y11" i="45" s="1"/>
  <c r="Y13" i="45" s="1"/>
  <c r="Y80" i="45"/>
  <c r="Y80" i="17"/>
  <c r="Y75" i="17"/>
  <c r="Y76" i="17" s="1"/>
  <c r="Y11" i="17" s="1"/>
  <c r="P10" i="47"/>
  <c r="AA39" i="17"/>
  <c r="Z40" i="17"/>
  <c r="Z65" i="17" s="1"/>
  <c r="Z71" i="17" s="1"/>
  <c r="Z73" i="17" s="1"/>
  <c r="X13" i="45"/>
  <c r="Q16" i="25"/>
  <c r="U62" i="17"/>
  <c r="R9" i="21"/>
  <c r="S66" i="17"/>
  <c r="S64" i="45"/>
  <c r="Q16" i="49"/>
  <c r="AA39" i="45"/>
  <c r="Z40" i="45"/>
  <c r="Z65" i="45" s="1"/>
  <c r="Z71" i="45" s="1"/>
  <c r="Z73" i="45" s="1"/>
  <c r="I19" i="26"/>
  <c r="J32" i="26"/>
  <c r="K92" i="45"/>
  <c r="K88" i="45"/>
  <c r="K93" i="45" s="1"/>
  <c r="N3" i="25"/>
  <c r="N3" i="48"/>
  <c r="N3" i="49"/>
  <c r="N3" i="26"/>
  <c r="S6" i="17"/>
  <c r="O4" i="21"/>
  <c r="J4" i="25"/>
  <c r="J8" i="25" s="1"/>
  <c r="J18" i="25" s="1"/>
  <c r="L27" i="20"/>
  <c r="L28" i="20" s="1"/>
  <c r="J4" i="49"/>
  <c r="J8" i="49" s="1"/>
  <c r="J18" i="49" s="1"/>
  <c r="J4" i="26"/>
  <c r="J8" i="26" s="1"/>
  <c r="J18" i="26" s="1"/>
  <c r="K5" i="21"/>
  <c r="K7" i="21" s="1"/>
  <c r="K12" i="21" s="1"/>
  <c r="K13" i="21" s="1"/>
  <c r="O7" i="17"/>
  <c r="J4" i="48"/>
  <c r="J8" i="48" s="1"/>
  <c r="J18" i="48" s="1"/>
  <c r="I34" i="46"/>
  <c r="I29" i="46"/>
  <c r="I32" i="46" s="1"/>
  <c r="I33" i="46" s="1"/>
  <c r="O4" i="47"/>
  <c r="S6" i="45"/>
  <c r="O7" i="45"/>
  <c r="K5" i="47"/>
  <c r="K7" i="47" s="1"/>
  <c r="K12" i="47" s="1"/>
  <c r="K13" i="47" s="1"/>
  <c r="L27" i="46"/>
  <c r="L28" i="46" s="1"/>
  <c r="I29" i="20"/>
  <c r="I32" i="20" s="1"/>
  <c r="I33" i="20" s="1"/>
  <c r="I34" i="20"/>
  <c r="I19" i="48"/>
  <c r="J32" i="48"/>
  <c r="I19" i="25"/>
  <c r="L87" i="17"/>
  <c r="L89" i="17"/>
  <c r="M5" i="26"/>
  <c r="N6" i="21"/>
  <c r="M5" i="48"/>
  <c r="M5" i="25"/>
  <c r="R8" i="17"/>
  <c r="M5" i="49"/>
  <c r="L89" i="45"/>
  <c r="R8" i="45"/>
  <c r="N6" i="47"/>
  <c r="M85" i="17"/>
  <c r="M86" i="17" s="1"/>
  <c r="M15" i="17"/>
  <c r="M42" i="17" s="1"/>
  <c r="M46" i="17" s="1"/>
  <c r="M51" i="17" s="1"/>
  <c r="N9" i="17"/>
  <c r="M85" i="45"/>
  <c r="M86" i="45" s="1"/>
  <c r="N9" i="45"/>
  <c r="M15" i="45"/>
  <c r="M42" i="45" s="1"/>
  <c r="M46" i="45" s="1"/>
  <c r="M51" i="45" s="1"/>
  <c r="L53" i="17"/>
  <c r="L57" i="17" s="1"/>
  <c r="J7" i="20"/>
  <c r="J15" i="20" s="1"/>
  <c r="J30" i="20" s="1"/>
  <c r="L88" i="45"/>
  <c r="L93" i="45" s="1"/>
  <c r="L92" i="45"/>
  <c r="V10" i="20"/>
  <c r="W10" i="20" s="1"/>
  <c r="L51" i="45"/>
  <c r="F57" i="17"/>
  <c r="D15" i="20"/>
  <c r="S10" i="46"/>
  <c r="D15" i="46"/>
  <c r="Z75" i="45" l="1"/>
  <c r="Z76" i="45" s="1"/>
  <c r="Z11" i="45" s="1"/>
  <c r="Z13" i="45" s="1"/>
  <c r="Z80" i="45"/>
  <c r="AB39" i="17"/>
  <c r="AA40" i="17"/>
  <c r="AA65" i="17" s="1"/>
  <c r="AA71" i="17" s="1"/>
  <c r="AA73" i="17" s="1"/>
  <c r="U14" i="49"/>
  <c r="Y13" i="17"/>
  <c r="U14" i="26"/>
  <c r="U16" i="26" s="1"/>
  <c r="U14" i="25"/>
  <c r="U16" i="25" s="1"/>
  <c r="U14" i="48"/>
  <c r="U16" i="48" s="1"/>
  <c r="R10" i="21"/>
  <c r="U64" i="17"/>
  <c r="S66" i="45"/>
  <c r="U9" i="21"/>
  <c r="U10" i="21" s="1"/>
  <c r="X62" i="17"/>
  <c r="X64" i="17" s="1"/>
  <c r="X66" i="17" s="1"/>
  <c r="X62" i="45"/>
  <c r="U9" i="47"/>
  <c r="AB39" i="45"/>
  <c r="AA40" i="45"/>
  <c r="AA65" i="45" s="1"/>
  <c r="AA71" i="45" s="1"/>
  <c r="AA73" i="45" s="1"/>
  <c r="Y62" i="45"/>
  <c r="Y64" i="45" s="1"/>
  <c r="Y66" i="45" s="1"/>
  <c r="V9" i="47"/>
  <c r="V10" i="47" s="1"/>
  <c r="Z75" i="17"/>
  <c r="Z76" i="17" s="1"/>
  <c r="Z11" i="17" s="1"/>
  <c r="Z80" i="17"/>
  <c r="S8" i="45"/>
  <c r="O6" i="47"/>
  <c r="J19" i="26"/>
  <c r="K32" i="26"/>
  <c r="K32" i="48"/>
  <c r="J19" i="48"/>
  <c r="O6" i="21"/>
  <c r="N5" i="48"/>
  <c r="N5" i="49"/>
  <c r="N5" i="25"/>
  <c r="N5" i="26"/>
  <c r="S8" i="17"/>
  <c r="K4" i="26"/>
  <c r="K8" i="26" s="1"/>
  <c r="K18" i="26" s="1"/>
  <c r="P7" i="17"/>
  <c r="M27" i="20"/>
  <c r="M28" i="20" s="1"/>
  <c r="K4" i="48"/>
  <c r="K8" i="48" s="1"/>
  <c r="K18" i="48" s="1"/>
  <c r="K4" i="25"/>
  <c r="K8" i="25" s="1"/>
  <c r="K18" i="25" s="1"/>
  <c r="K4" i="49"/>
  <c r="K8" i="49" s="1"/>
  <c r="K18" i="49" s="1"/>
  <c r="L5" i="21"/>
  <c r="L7" i="21" s="1"/>
  <c r="L12" i="21" s="1"/>
  <c r="L13" i="21" s="1"/>
  <c r="M89" i="45"/>
  <c r="M87" i="45"/>
  <c r="L92" i="17"/>
  <c r="L88" i="17"/>
  <c r="L93" i="17" s="1"/>
  <c r="J34" i="20"/>
  <c r="J29" i="20"/>
  <c r="J32" i="20" s="1"/>
  <c r="J33" i="20" s="1"/>
  <c r="N85" i="17"/>
  <c r="N86" i="17" s="1"/>
  <c r="O9" i="17"/>
  <c r="N15" i="17"/>
  <c r="N42" i="17" s="1"/>
  <c r="N46" i="17" s="1"/>
  <c r="J19" i="25"/>
  <c r="K32" i="25"/>
  <c r="O9" i="45"/>
  <c r="N15" i="45"/>
  <c r="N42" i="45" s="1"/>
  <c r="N46" i="45" s="1"/>
  <c r="N85" i="45"/>
  <c r="N86" i="45" s="1"/>
  <c r="K7" i="20"/>
  <c r="K15" i="20" s="1"/>
  <c r="K30" i="20" s="1"/>
  <c r="M53" i="17"/>
  <c r="M57" i="17" s="1"/>
  <c r="L5" i="47"/>
  <c r="L7" i="47" s="1"/>
  <c r="L12" i="47" s="1"/>
  <c r="L13" i="47" s="1"/>
  <c r="P7" i="45"/>
  <c r="M27" i="46"/>
  <c r="M28" i="46" s="1"/>
  <c r="O3" i="25"/>
  <c r="O3" i="48"/>
  <c r="O3" i="49"/>
  <c r="O3" i="26"/>
  <c r="P4" i="21"/>
  <c r="T6" i="17"/>
  <c r="K7" i="46"/>
  <c r="K15" i="46" s="1"/>
  <c r="K30" i="46" s="1"/>
  <c r="M53" i="45"/>
  <c r="M57" i="45" s="1"/>
  <c r="M87" i="17"/>
  <c r="M89" i="17"/>
  <c r="T6" i="45"/>
  <c r="P4" i="47"/>
  <c r="J7" i="46"/>
  <c r="L53" i="45"/>
  <c r="X10" i="20"/>
  <c r="D30" i="46"/>
  <c r="T10" i="46"/>
  <c r="D30" i="20"/>
  <c r="U66" i="17" l="1"/>
  <c r="AA80" i="45"/>
  <c r="AA75" i="45"/>
  <c r="AA76" i="45" s="1"/>
  <c r="AA11" i="45" s="1"/>
  <c r="AA75" i="17"/>
  <c r="AA76" i="17" s="1"/>
  <c r="AA11" i="17" s="1"/>
  <c r="AA80" i="17"/>
  <c r="AC39" i="17"/>
  <c r="AB40" i="17"/>
  <c r="AB65" i="17" s="1"/>
  <c r="AB71" i="17" s="1"/>
  <c r="AB73" i="17" s="1"/>
  <c r="Y62" i="17"/>
  <c r="V9" i="21"/>
  <c r="Z13" i="17"/>
  <c r="V14" i="26"/>
  <c r="V16" i="26" s="1"/>
  <c r="V14" i="25"/>
  <c r="V16" i="25" s="1"/>
  <c r="V14" i="48"/>
  <c r="V14" i="49"/>
  <c r="V16" i="49" s="1"/>
  <c r="AC39" i="45"/>
  <c r="AB40" i="45"/>
  <c r="AB65" i="45" s="1"/>
  <c r="AB71" i="45" s="1"/>
  <c r="AB73" i="45" s="1"/>
  <c r="X64" i="45"/>
  <c r="Z62" i="45"/>
  <c r="Z64" i="45" s="1"/>
  <c r="Z66" i="45" s="1"/>
  <c r="W9" i="47"/>
  <c r="W10" i="47" s="1"/>
  <c r="U16" i="49"/>
  <c r="U10" i="47"/>
  <c r="K19" i="25"/>
  <c r="L32" i="25"/>
  <c r="L32" i="48"/>
  <c r="K19" i="48"/>
  <c r="O5" i="48"/>
  <c r="O5" i="26"/>
  <c r="O5" i="49"/>
  <c r="O5" i="25"/>
  <c r="T8" i="17"/>
  <c r="P6" i="21"/>
  <c r="M5" i="47"/>
  <c r="M7" i="47" s="1"/>
  <c r="M12" i="47" s="1"/>
  <c r="M13" i="47" s="1"/>
  <c r="Q7" i="45"/>
  <c r="N27" i="46"/>
  <c r="N28" i="46" s="1"/>
  <c r="K19" i="26"/>
  <c r="L32" i="26"/>
  <c r="L4" i="25"/>
  <c r="L8" i="25" s="1"/>
  <c r="L18" i="25" s="1"/>
  <c r="L4" i="49"/>
  <c r="L8" i="49" s="1"/>
  <c r="L18" i="49" s="1"/>
  <c r="N27" i="20"/>
  <c r="N28" i="20" s="1"/>
  <c r="L4" i="26"/>
  <c r="L8" i="26" s="1"/>
  <c r="L18" i="26" s="1"/>
  <c r="M5" i="21"/>
  <c r="M7" i="21" s="1"/>
  <c r="M12" i="21" s="1"/>
  <c r="M13" i="21" s="1"/>
  <c r="Q7" i="17"/>
  <c r="L4" i="48"/>
  <c r="L8" i="48" s="1"/>
  <c r="L18" i="48" s="1"/>
  <c r="O15" i="45"/>
  <c r="O42" i="45" s="1"/>
  <c r="O46" i="45" s="1"/>
  <c r="O51" i="45" s="1"/>
  <c r="O85" i="45"/>
  <c r="O86" i="45" s="1"/>
  <c r="P9" i="45"/>
  <c r="N89" i="45"/>
  <c r="N87" i="45"/>
  <c r="U6" i="45"/>
  <c r="Q4" i="47"/>
  <c r="O15" i="17"/>
  <c r="O42" i="17" s="1"/>
  <c r="O46" i="17" s="1"/>
  <c r="O51" i="17" s="1"/>
  <c r="P9" i="17"/>
  <c r="O85" i="17"/>
  <c r="O86" i="17" s="1"/>
  <c r="N87" i="17"/>
  <c r="N89" i="17"/>
  <c r="P3" i="25"/>
  <c r="P3" i="48"/>
  <c r="P3" i="49"/>
  <c r="P3" i="26"/>
  <c r="U6" i="17"/>
  <c r="Q4" i="21"/>
  <c r="K29" i="20"/>
  <c r="K32" i="20" s="1"/>
  <c r="K33" i="20" s="1"/>
  <c r="K34" i="20"/>
  <c r="M88" i="17"/>
  <c r="M93" i="17" s="1"/>
  <c r="M92" i="17"/>
  <c r="K34" i="46"/>
  <c r="K29" i="46"/>
  <c r="K32" i="46" s="1"/>
  <c r="K33" i="46" s="1"/>
  <c r="M88" i="45"/>
  <c r="M93" i="45" s="1"/>
  <c r="M92" i="45"/>
  <c r="T8" i="45"/>
  <c r="P6" i="47"/>
  <c r="N51" i="17"/>
  <c r="J15" i="46"/>
  <c r="J30" i="46" s="1"/>
  <c r="L57" i="45"/>
  <c r="N51" i="45"/>
  <c r="U10" i="46"/>
  <c r="D29" i="20"/>
  <c r="D34" i="20"/>
  <c r="D34" i="46"/>
  <c r="D29" i="46"/>
  <c r="Y10" i="20"/>
  <c r="V16" i="48" l="1"/>
  <c r="Y64" i="17"/>
  <c r="W9" i="21"/>
  <c r="W10" i="21" s="1"/>
  <c r="Z62" i="17"/>
  <c r="Z64" i="17" s="1"/>
  <c r="Z66" i="17" s="1"/>
  <c r="X66" i="45"/>
  <c r="V10" i="21"/>
  <c r="AA13" i="45"/>
  <c r="AB75" i="17"/>
  <c r="AB76" i="17" s="1"/>
  <c r="AB11" i="17" s="1"/>
  <c r="AB80" i="17"/>
  <c r="AD39" i="17"/>
  <c r="AC40" i="17"/>
  <c r="AC65" i="17" s="1"/>
  <c r="AC71" i="17" s="1"/>
  <c r="AC73" i="17" s="1"/>
  <c r="AA13" i="17"/>
  <c r="W14" i="25"/>
  <c r="W16" i="25" s="1"/>
  <c r="W14" i="48"/>
  <c r="W16" i="48" s="1"/>
  <c r="W14" i="49"/>
  <c r="W16" i="49" s="1"/>
  <c r="W14" i="26"/>
  <c r="W16" i="26" s="1"/>
  <c r="AB80" i="45"/>
  <c r="AB75" i="45"/>
  <c r="AB76" i="45" s="1"/>
  <c r="AB11" i="45" s="1"/>
  <c r="AB13" i="45" s="1"/>
  <c r="AD39" i="45"/>
  <c r="AC40" i="45"/>
  <c r="AC65" i="45" s="1"/>
  <c r="AC71" i="45" s="1"/>
  <c r="AC73" i="45" s="1"/>
  <c r="O87" i="17"/>
  <c r="O89" i="17"/>
  <c r="O27" i="46"/>
  <c r="O28" i="46" s="1"/>
  <c r="N5" i="47"/>
  <c r="N7" i="47" s="1"/>
  <c r="N12" i="47" s="1"/>
  <c r="N13" i="47" s="1"/>
  <c r="R7" i="45"/>
  <c r="M32" i="25"/>
  <c r="L19" i="25"/>
  <c r="N88" i="17"/>
  <c r="N93" i="17" s="1"/>
  <c r="N92" i="17"/>
  <c r="V6" i="45"/>
  <c r="R4" i="47"/>
  <c r="U8" i="17"/>
  <c r="P5" i="26"/>
  <c r="P5" i="48"/>
  <c r="P5" i="25"/>
  <c r="P5" i="49"/>
  <c r="Q6" i="21"/>
  <c r="L19" i="26"/>
  <c r="M32" i="26"/>
  <c r="M7" i="20"/>
  <c r="M15" i="20" s="1"/>
  <c r="M30" i="20" s="1"/>
  <c r="O53" i="17"/>
  <c r="O57" i="17" s="1"/>
  <c r="Q6" i="47"/>
  <c r="U8" i="45"/>
  <c r="P85" i="45"/>
  <c r="P86" i="45" s="1"/>
  <c r="Q9" i="45"/>
  <c r="P15" i="45"/>
  <c r="P42" i="45" s="1"/>
  <c r="P46" i="45" s="1"/>
  <c r="O87" i="45"/>
  <c r="O89" i="45"/>
  <c r="Q9" i="17"/>
  <c r="P15" i="17"/>
  <c r="P42" i="17" s="1"/>
  <c r="P85" i="17"/>
  <c r="P86" i="17" s="1"/>
  <c r="N88" i="45"/>
  <c r="N93" i="45" s="1"/>
  <c r="N92" i="45"/>
  <c r="O53" i="45"/>
  <c r="O57" i="45" s="1"/>
  <c r="M7" i="46"/>
  <c r="M15" i="46" s="1"/>
  <c r="M30" i="46" s="1"/>
  <c r="L19" i="48"/>
  <c r="M32" i="48"/>
  <c r="Q3" i="49"/>
  <c r="Q3" i="25"/>
  <c r="Q3" i="48"/>
  <c r="Q3" i="26"/>
  <c r="R4" i="21"/>
  <c r="V6" i="17"/>
  <c r="M4" i="49"/>
  <c r="M8" i="49" s="1"/>
  <c r="M18" i="49" s="1"/>
  <c r="M4" i="25"/>
  <c r="M8" i="25" s="1"/>
  <c r="M18" i="25" s="1"/>
  <c r="M4" i="48"/>
  <c r="M8" i="48" s="1"/>
  <c r="M18" i="48" s="1"/>
  <c r="M4" i="26"/>
  <c r="M8" i="26" s="1"/>
  <c r="M18" i="26" s="1"/>
  <c r="O27" i="20"/>
  <c r="O28" i="20" s="1"/>
  <c r="N5" i="21"/>
  <c r="N7" i="21" s="1"/>
  <c r="N12" i="21" s="1"/>
  <c r="N13" i="21" s="1"/>
  <c r="R7" i="17"/>
  <c r="L7" i="20"/>
  <c r="N53" i="17"/>
  <c r="J29" i="46"/>
  <c r="J32" i="46" s="1"/>
  <c r="J33" i="46" s="1"/>
  <c r="J34" i="46"/>
  <c r="L7" i="46"/>
  <c r="N53" i="45"/>
  <c r="P46" i="17"/>
  <c r="Z10" i="20"/>
  <c r="D32" i="46"/>
  <c r="V10" i="46"/>
  <c r="D32" i="20"/>
  <c r="AD40" i="17" l="1"/>
  <c r="AE39" i="17"/>
  <c r="X9" i="47"/>
  <c r="AA62" i="45"/>
  <c r="AB13" i="17"/>
  <c r="X14" i="49"/>
  <c r="X16" i="49" s="1"/>
  <c r="X14" i="25"/>
  <c r="X16" i="25" s="1"/>
  <c r="X14" i="48"/>
  <c r="X16" i="48" s="1"/>
  <c r="X14" i="26"/>
  <c r="X16" i="26" s="1"/>
  <c r="AD40" i="45"/>
  <c r="AE39" i="45"/>
  <c r="Y66" i="17"/>
  <c r="AC75" i="45"/>
  <c r="AC76" i="45" s="1"/>
  <c r="AC11" i="45" s="1"/>
  <c r="AC13" i="45" s="1"/>
  <c r="AC80" i="45"/>
  <c r="Y9" i="47"/>
  <c r="Y10" i="47" s="1"/>
  <c r="AB62" i="45"/>
  <c r="AB64" i="45" s="1"/>
  <c r="AB66" i="45" s="1"/>
  <c r="AA62" i="17"/>
  <c r="AA64" i="17" s="1"/>
  <c r="AA66" i="17" s="1"/>
  <c r="X9" i="21"/>
  <c r="AC75" i="17"/>
  <c r="AC76" i="17" s="1"/>
  <c r="AC11" i="17" s="1"/>
  <c r="AC80" i="17"/>
  <c r="M29" i="20"/>
  <c r="M32" i="20" s="1"/>
  <c r="M33" i="20" s="1"/>
  <c r="M34" i="20"/>
  <c r="Q5" i="25"/>
  <c r="Q5" i="26"/>
  <c r="Q5" i="48"/>
  <c r="V8" i="17"/>
  <c r="Q5" i="49"/>
  <c r="R6" i="21"/>
  <c r="S4" i="47"/>
  <c r="W6" i="45"/>
  <c r="M34" i="46"/>
  <c r="M29" i="46"/>
  <c r="M32" i="46" s="1"/>
  <c r="M33" i="46" s="1"/>
  <c r="P87" i="17"/>
  <c r="P89" i="17"/>
  <c r="N4" i="26"/>
  <c r="N8" i="26" s="1"/>
  <c r="N18" i="26" s="1"/>
  <c r="O5" i="21"/>
  <c r="O7" i="21" s="1"/>
  <c r="O12" i="21" s="1"/>
  <c r="O13" i="21" s="1"/>
  <c r="N4" i="25"/>
  <c r="N8" i="25" s="1"/>
  <c r="N18" i="25" s="1"/>
  <c r="N4" i="48"/>
  <c r="N8" i="48" s="1"/>
  <c r="N18" i="48" s="1"/>
  <c r="N4" i="49"/>
  <c r="N8" i="49" s="1"/>
  <c r="N18" i="49" s="1"/>
  <c r="S7" i="17"/>
  <c r="P27" i="20"/>
  <c r="P28" i="20" s="1"/>
  <c r="M19" i="26"/>
  <c r="N32" i="26"/>
  <c r="O92" i="45"/>
  <c r="O88" i="45"/>
  <c r="O93" i="45" s="1"/>
  <c r="N32" i="25"/>
  <c r="M19" i="25"/>
  <c r="R9" i="45"/>
  <c r="Q85" i="45"/>
  <c r="Q86" i="45" s="1"/>
  <c r="Q15" i="45"/>
  <c r="Q42" i="45" s="1"/>
  <c r="Q46" i="45" s="1"/>
  <c r="Q51" i="45" s="1"/>
  <c r="S7" i="45"/>
  <c r="P27" i="46"/>
  <c r="P28" i="46" s="1"/>
  <c r="O5" i="47"/>
  <c r="O7" i="47" s="1"/>
  <c r="O12" i="47" s="1"/>
  <c r="O13" i="47" s="1"/>
  <c r="N32" i="48"/>
  <c r="M19" i="48"/>
  <c r="P87" i="45"/>
  <c r="P89" i="45"/>
  <c r="Q85" i="17"/>
  <c r="Q86" i="17" s="1"/>
  <c r="R9" i="17"/>
  <c r="Q15" i="17"/>
  <c r="Q42" i="17" s="1"/>
  <c r="Q46" i="17" s="1"/>
  <c r="Q51" i="17" s="1"/>
  <c r="R3" i="49"/>
  <c r="R3" i="25"/>
  <c r="R3" i="48"/>
  <c r="R3" i="26"/>
  <c r="W6" i="17"/>
  <c r="S4" i="21"/>
  <c r="V8" i="45"/>
  <c r="R6" i="47"/>
  <c r="O88" i="17"/>
  <c r="O93" i="17" s="1"/>
  <c r="O92" i="17"/>
  <c r="L15" i="46"/>
  <c r="L30" i="46" s="1"/>
  <c r="L15" i="20"/>
  <c r="L30" i="20" s="1"/>
  <c r="N57" i="45"/>
  <c r="P51" i="45"/>
  <c r="P51" i="17"/>
  <c r="N57" i="17"/>
  <c r="D33" i="20"/>
  <c r="W10" i="46"/>
  <c r="D33" i="46"/>
  <c r="AA10" i="20"/>
  <c r="AC13" i="17" l="1"/>
  <c r="Y14" i="26"/>
  <c r="Y16" i="26" s="1"/>
  <c r="Y14" i="25"/>
  <c r="Y16" i="25" s="1"/>
  <c r="Y14" i="48"/>
  <c r="Y16" i="48" s="1"/>
  <c r="Y14" i="49"/>
  <c r="Y16" i="49" s="1"/>
  <c r="AC62" i="45"/>
  <c r="AC64" i="45" s="1"/>
  <c r="AC66" i="45" s="1"/>
  <c r="Z9" i="47"/>
  <c r="Z10" i="47" s="1"/>
  <c r="AA64" i="45"/>
  <c r="X10" i="21"/>
  <c r="X10" i="47"/>
  <c r="AD65" i="45"/>
  <c r="AE40" i="45"/>
  <c r="AB62" i="17"/>
  <c r="Y9" i="21"/>
  <c r="Y10" i="21" s="1"/>
  <c r="AD65" i="17"/>
  <c r="AE40" i="17"/>
  <c r="Q27" i="20"/>
  <c r="Q28" i="20" s="1"/>
  <c r="O4" i="26"/>
  <c r="O8" i="26" s="1"/>
  <c r="O18" i="26" s="1"/>
  <c r="P5" i="21"/>
  <c r="P7" i="21" s="1"/>
  <c r="P12" i="21" s="1"/>
  <c r="P13" i="21" s="1"/>
  <c r="T7" i="17"/>
  <c r="O4" i="49"/>
  <c r="O8" i="49" s="1"/>
  <c r="O18" i="49" s="1"/>
  <c r="O4" i="48"/>
  <c r="O8" i="48" s="1"/>
  <c r="O18" i="48" s="1"/>
  <c r="O4" i="25"/>
  <c r="O8" i="25" s="1"/>
  <c r="O18" i="25" s="1"/>
  <c r="O7" i="20"/>
  <c r="O15" i="20" s="1"/>
  <c r="O30" i="20" s="1"/>
  <c r="Q53" i="17"/>
  <c r="Q57" i="17" s="1"/>
  <c r="N19" i="48"/>
  <c r="O32" i="48"/>
  <c r="O32" i="25"/>
  <c r="N19" i="25"/>
  <c r="N19" i="26"/>
  <c r="O32" i="26"/>
  <c r="O7" i="46"/>
  <c r="O15" i="46" s="1"/>
  <c r="O30" i="46" s="1"/>
  <c r="Q53" i="45"/>
  <c r="Q57" i="45" s="1"/>
  <c r="T4" i="47"/>
  <c r="X6" i="45"/>
  <c r="P88" i="17"/>
  <c r="P93" i="17" s="1"/>
  <c r="P92" i="17"/>
  <c r="S6" i="47"/>
  <c r="W8" i="45"/>
  <c r="Q27" i="46"/>
  <c r="Q28" i="46" s="1"/>
  <c r="T7" i="45"/>
  <c r="P5" i="47"/>
  <c r="P7" i="47" s="1"/>
  <c r="P12" i="47" s="1"/>
  <c r="P13" i="47" s="1"/>
  <c r="R5" i="48"/>
  <c r="R5" i="49"/>
  <c r="R5" i="25"/>
  <c r="R5" i="26"/>
  <c r="S6" i="21"/>
  <c r="W8" i="17"/>
  <c r="P88" i="45"/>
  <c r="P93" i="45" s="1"/>
  <c r="P92" i="45"/>
  <c r="S3" i="49"/>
  <c r="S3" i="26"/>
  <c r="S3" i="25"/>
  <c r="S3" i="48"/>
  <c r="X6" i="17"/>
  <c r="T4" i="21"/>
  <c r="S9" i="17"/>
  <c r="R85" i="17"/>
  <c r="R86" i="17" s="1"/>
  <c r="R15" i="17"/>
  <c r="R42" i="17" s="1"/>
  <c r="R46" i="17" s="1"/>
  <c r="R51" i="17" s="1"/>
  <c r="Q87" i="17"/>
  <c r="Q89" i="17"/>
  <c r="R15" i="45"/>
  <c r="R42" i="45" s="1"/>
  <c r="S9" i="45"/>
  <c r="R85" i="45"/>
  <c r="R86" i="45" s="1"/>
  <c r="Q87" i="45"/>
  <c r="Q89" i="45"/>
  <c r="R46" i="45"/>
  <c r="L34" i="20"/>
  <c r="L29" i="20"/>
  <c r="L32" i="20" s="1"/>
  <c r="L33" i="20" s="1"/>
  <c r="N7" i="46"/>
  <c r="P53" i="45"/>
  <c r="P57" i="45" s="1"/>
  <c r="N7" i="20"/>
  <c r="P53" i="17"/>
  <c r="P57" i="17" s="1"/>
  <c r="L29" i="46"/>
  <c r="L32" i="46" s="1"/>
  <c r="L33" i="46" s="1"/>
  <c r="L34" i="46"/>
  <c r="X10" i="46"/>
  <c r="AB10" i="20"/>
  <c r="AB64" i="17" l="1"/>
  <c r="AD71" i="45"/>
  <c r="AE65" i="45"/>
  <c r="AA66" i="45"/>
  <c r="Z9" i="21"/>
  <c r="Z10" i="21" s="1"/>
  <c r="AC62" i="17"/>
  <c r="AC64" i="17" s="1"/>
  <c r="AC66" i="17" s="1"/>
  <c r="AD71" i="17"/>
  <c r="AE65" i="17"/>
  <c r="S5" i="25"/>
  <c r="S5" i="26"/>
  <c r="S5" i="49"/>
  <c r="S5" i="48"/>
  <c r="X8" i="17"/>
  <c r="T6" i="21"/>
  <c r="O34" i="20"/>
  <c r="O29" i="20"/>
  <c r="O32" i="20" s="1"/>
  <c r="O33" i="20" s="1"/>
  <c r="Y6" i="45"/>
  <c r="U4" i="47"/>
  <c r="P32" i="25"/>
  <c r="O19" i="25"/>
  <c r="P32" i="48"/>
  <c r="O19" i="48"/>
  <c r="U7" i="45"/>
  <c r="Q5" i="47"/>
  <c r="Q7" i="47" s="1"/>
  <c r="Q12" i="47" s="1"/>
  <c r="Q13" i="47" s="1"/>
  <c r="R27" i="46"/>
  <c r="R28" i="46" s="1"/>
  <c r="Q88" i="45"/>
  <c r="Q93" i="45" s="1"/>
  <c r="Q92" i="45"/>
  <c r="Q92" i="17"/>
  <c r="Q88" i="17"/>
  <c r="Q93" i="17" s="1"/>
  <c r="P4" i="48"/>
  <c r="P8" i="48" s="1"/>
  <c r="P18" i="48" s="1"/>
  <c r="P4" i="26"/>
  <c r="P8" i="26" s="1"/>
  <c r="P18" i="26" s="1"/>
  <c r="P4" i="49"/>
  <c r="P8" i="49" s="1"/>
  <c r="P18" i="49" s="1"/>
  <c r="Q5" i="21"/>
  <c r="Q7" i="21" s="1"/>
  <c r="Q12" i="21" s="1"/>
  <c r="Q13" i="21" s="1"/>
  <c r="R27" i="20"/>
  <c r="R28" i="20" s="1"/>
  <c r="P4" i="25"/>
  <c r="P8" i="25" s="1"/>
  <c r="P18" i="25" s="1"/>
  <c r="U7" i="17"/>
  <c r="R87" i="45"/>
  <c r="R89" i="45"/>
  <c r="S15" i="45"/>
  <c r="S42" i="45" s="1"/>
  <c r="S46" i="45" s="1"/>
  <c r="S51" i="45" s="1"/>
  <c r="T9" i="45"/>
  <c r="S85" i="45"/>
  <c r="S86" i="45" s="1"/>
  <c r="T6" i="47"/>
  <c r="X8" i="45"/>
  <c r="T3" i="49"/>
  <c r="T3" i="26"/>
  <c r="T3" i="25"/>
  <c r="T3" i="48"/>
  <c r="U4" i="21"/>
  <c r="Y6" i="17"/>
  <c r="O34" i="46"/>
  <c r="O29" i="46"/>
  <c r="O32" i="46" s="1"/>
  <c r="O33" i="46" s="1"/>
  <c r="R87" i="17"/>
  <c r="R89" i="17"/>
  <c r="P32" i="26"/>
  <c r="O19" i="26"/>
  <c r="R53" i="17"/>
  <c r="R57" i="17" s="1"/>
  <c r="P7" i="20"/>
  <c r="P15" i="20" s="1"/>
  <c r="P30" i="20" s="1"/>
  <c r="T9" i="17"/>
  <c r="S15" i="17"/>
  <c r="S42" i="17" s="1"/>
  <c r="S46" i="17" s="1"/>
  <c r="S51" i="17" s="1"/>
  <c r="S85" i="17"/>
  <c r="S86" i="17" s="1"/>
  <c r="N15" i="46"/>
  <c r="N30" i="46" s="1"/>
  <c r="R51" i="45"/>
  <c r="N15" i="20"/>
  <c r="N30" i="20" s="1"/>
  <c r="AC10" i="20"/>
  <c r="Y10" i="46"/>
  <c r="AD73" i="17" l="1"/>
  <c r="AE71" i="17"/>
  <c r="AE73" i="17" s="1"/>
  <c r="AD73" i="45"/>
  <c r="AE71" i="45"/>
  <c r="AE73" i="45" s="1"/>
  <c r="AB66" i="17"/>
  <c r="U6" i="47"/>
  <c r="Y8" i="45"/>
  <c r="T85" i="45"/>
  <c r="T86" i="45" s="1"/>
  <c r="T15" i="45"/>
  <c r="T42" i="45" s="1"/>
  <c r="T46" i="45" s="1"/>
  <c r="U9" i="45"/>
  <c r="V7" i="45"/>
  <c r="R5" i="47"/>
  <c r="R7" i="47" s="1"/>
  <c r="R12" i="47" s="1"/>
  <c r="R13" i="47" s="1"/>
  <c r="S27" i="46"/>
  <c r="S28" i="46" s="1"/>
  <c r="S89" i="17"/>
  <c r="S87" i="17"/>
  <c r="S89" i="45"/>
  <c r="S87" i="45"/>
  <c r="Q7" i="46"/>
  <c r="Q15" i="46" s="1"/>
  <c r="Q30" i="46" s="1"/>
  <c r="S53" i="45"/>
  <c r="S57" i="45" s="1"/>
  <c r="P29" i="20"/>
  <c r="P32" i="20" s="1"/>
  <c r="P33" i="20" s="1"/>
  <c r="P34" i="20"/>
  <c r="Q7" i="20"/>
  <c r="Q15" i="20" s="1"/>
  <c r="Q30" i="20" s="1"/>
  <c r="S53" i="17"/>
  <c r="S57" i="17" s="1"/>
  <c r="V4" i="47"/>
  <c r="Z6" i="45"/>
  <c r="Q32" i="25"/>
  <c r="P19" i="25"/>
  <c r="T5" i="49"/>
  <c r="U6" i="21"/>
  <c r="T5" i="25"/>
  <c r="T5" i="26"/>
  <c r="T5" i="48"/>
  <c r="Y8" i="17"/>
  <c r="T85" i="17"/>
  <c r="T86" i="17" s="1"/>
  <c r="T15" i="17"/>
  <c r="T42" i="17" s="1"/>
  <c r="T46" i="17" s="1"/>
  <c r="T51" i="17" s="1"/>
  <c r="U9" i="17"/>
  <c r="Q32" i="26"/>
  <c r="P19" i="26"/>
  <c r="R88" i="45"/>
  <c r="R93" i="45" s="1"/>
  <c r="R92" i="45"/>
  <c r="S27" i="20"/>
  <c r="S28" i="20" s="1"/>
  <c r="Q4" i="25"/>
  <c r="Q8" i="25" s="1"/>
  <c r="Q18" i="25" s="1"/>
  <c r="Q4" i="26"/>
  <c r="Q8" i="26" s="1"/>
  <c r="Q18" i="26" s="1"/>
  <c r="Q4" i="48"/>
  <c r="Q8" i="48" s="1"/>
  <c r="Q18" i="48" s="1"/>
  <c r="R5" i="21"/>
  <c r="R7" i="21" s="1"/>
  <c r="R12" i="21" s="1"/>
  <c r="R13" i="21" s="1"/>
  <c r="Q4" i="49"/>
  <c r="Q8" i="49" s="1"/>
  <c r="Q18" i="49" s="1"/>
  <c r="V7" i="17"/>
  <c r="Q32" i="48"/>
  <c r="P19" i="48"/>
  <c r="R88" i="17"/>
  <c r="R93" i="17" s="1"/>
  <c r="R92" i="17"/>
  <c r="U3" i="49"/>
  <c r="U3" i="48"/>
  <c r="U3" i="25"/>
  <c r="U3" i="26"/>
  <c r="Z6" i="17"/>
  <c r="V4" i="21"/>
  <c r="R53" i="45"/>
  <c r="R57" i="45" s="1"/>
  <c r="P7" i="46"/>
  <c r="N29" i="46"/>
  <c r="N32" i="46" s="1"/>
  <c r="N33" i="46" s="1"/>
  <c r="N34" i="46"/>
  <c r="N34" i="20"/>
  <c r="N29" i="20"/>
  <c r="N32" i="20" s="1"/>
  <c r="N33" i="20" s="1"/>
  <c r="Z10" i="46"/>
  <c r="AE75" i="45" l="1"/>
  <c r="AE76" i="45" s="1"/>
  <c r="AE77" i="45" s="1"/>
  <c r="AE80" i="45"/>
  <c r="AD80" i="45"/>
  <c r="AD75" i="45"/>
  <c r="AD76" i="45" s="1"/>
  <c r="AD11" i="45" s="1"/>
  <c r="AE75" i="17"/>
  <c r="AE76" i="17" s="1"/>
  <c r="AE77" i="17" s="1"/>
  <c r="AE80" i="17"/>
  <c r="AD80" i="17"/>
  <c r="AD75" i="17"/>
  <c r="AD76" i="17" s="1"/>
  <c r="AD11" i="17" s="1"/>
  <c r="R32" i="26"/>
  <c r="Q19" i="26"/>
  <c r="S88" i="17"/>
  <c r="S93" i="17" s="1"/>
  <c r="S92" i="17"/>
  <c r="R32" i="48"/>
  <c r="Q19" i="48"/>
  <c r="Q34" i="20"/>
  <c r="Q29" i="20"/>
  <c r="Q32" i="20" s="1"/>
  <c r="Q33" i="20" s="1"/>
  <c r="Q34" i="46"/>
  <c r="Q29" i="46"/>
  <c r="Q32" i="46" s="1"/>
  <c r="Q33" i="46" s="1"/>
  <c r="R32" i="25"/>
  <c r="Q19" i="25"/>
  <c r="S88" i="45"/>
  <c r="S93" i="45" s="1"/>
  <c r="S92" i="45"/>
  <c r="U15" i="17"/>
  <c r="U42" i="17" s="1"/>
  <c r="U46" i="17" s="1"/>
  <c r="U51" i="17" s="1"/>
  <c r="V9" i="17"/>
  <c r="U85" i="17"/>
  <c r="U86" i="17" s="1"/>
  <c r="S5" i="47"/>
  <c r="S7" i="47" s="1"/>
  <c r="S12" i="47" s="1"/>
  <c r="S13" i="47" s="1"/>
  <c r="W7" i="45"/>
  <c r="T27" i="46"/>
  <c r="T28" i="46" s="1"/>
  <c r="V3" i="48"/>
  <c r="V3" i="49"/>
  <c r="V3" i="25"/>
  <c r="V3" i="26"/>
  <c r="W4" i="21"/>
  <c r="AA6" i="17"/>
  <c r="V9" i="45"/>
  <c r="U15" i="45"/>
  <c r="U42" i="45" s="1"/>
  <c r="U46" i="45" s="1"/>
  <c r="U51" i="45" s="1"/>
  <c r="U85" i="45"/>
  <c r="U86" i="45" s="1"/>
  <c r="U5" i="49"/>
  <c r="U5" i="25"/>
  <c r="U5" i="48"/>
  <c r="U5" i="26"/>
  <c r="V6" i="21"/>
  <c r="Z8" i="17"/>
  <c r="T89" i="45"/>
  <c r="T87" i="45"/>
  <c r="R4" i="49"/>
  <c r="R8" i="49" s="1"/>
  <c r="R18" i="49" s="1"/>
  <c r="R4" i="48"/>
  <c r="R8" i="48" s="1"/>
  <c r="R18" i="48" s="1"/>
  <c r="W7" i="17"/>
  <c r="S5" i="21"/>
  <c r="S7" i="21" s="1"/>
  <c r="S12" i="21" s="1"/>
  <c r="S13" i="21" s="1"/>
  <c r="R4" i="26"/>
  <c r="R8" i="26" s="1"/>
  <c r="R18" i="26" s="1"/>
  <c r="R4" i="25"/>
  <c r="R8" i="25" s="1"/>
  <c r="R18" i="25" s="1"/>
  <c r="T27" i="20"/>
  <c r="T28" i="20" s="1"/>
  <c r="Z8" i="45"/>
  <c r="V6" i="47"/>
  <c r="AA6" i="45"/>
  <c r="W4" i="47"/>
  <c r="T87" i="17"/>
  <c r="T89" i="17"/>
  <c r="T51" i="45"/>
  <c r="T53" i="17"/>
  <c r="T57" i="17" s="1"/>
  <c r="R7" i="20"/>
  <c r="P15" i="46"/>
  <c r="P30" i="46" s="1"/>
  <c r="AA10" i="46"/>
  <c r="Z14" i="48" l="1"/>
  <c r="Z14" i="49"/>
  <c r="Z14" i="25"/>
  <c r="Z14" i="26"/>
  <c r="AD13" i="17"/>
  <c r="AE11" i="17"/>
  <c r="AD13" i="45"/>
  <c r="AE11" i="45"/>
  <c r="T5" i="47"/>
  <c r="T7" i="47" s="1"/>
  <c r="T12" i="47" s="1"/>
  <c r="T13" i="47" s="1"/>
  <c r="U27" i="46"/>
  <c r="U28" i="46" s="1"/>
  <c r="X7" i="45"/>
  <c r="U87" i="17"/>
  <c r="U89" i="17"/>
  <c r="X7" i="17"/>
  <c r="S4" i="49"/>
  <c r="S8" i="49" s="1"/>
  <c r="S18" i="49" s="1"/>
  <c r="S4" i="48"/>
  <c r="S8" i="48" s="1"/>
  <c r="S18" i="48" s="1"/>
  <c r="T5" i="21"/>
  <c r="T7" i="21" s="1"/>
  <c r="T12" i="21" s="1"/>
  <c r="T13" i="21" s="1"/>
  <c r="U27" i="20"/>
  <c r="U28" i="20" s="1"/>
  <c r="S4" i="26"/>
  <c r="S8" i="26" s="1"/>
  <c r="S18" i="26" s="1"/>
  <c r="S4" i="25"/>
  <c r="S8" i="25" s="1"/>
  <c r="S18" i="25" s="1"/>
  <c r="U53" i="17"/>
  <c r="U57" i="17" s="1"/>
  <c r="S7" i="20"/>
  <c r="S15" i="20" s="1"/>
  <c r="S30" i="20" s="1"/>
  <c r="V5" i="25"/>
  <c r="W6" i="21"/>
  <c r="V5" i="26"/>
  <c r="AA8" i="17"/>
  <c r="V5" i="48"/>
  <c r="V5" i="49"/>
  <c r="V85" i="45"/>
  <c r="V86" i="45" s="1"/>
  <c r="W9" i="45"/>
  <c r="V15" i="45"/>
  <c r="V42" i="45" s="1"/>
  <c r="V46" i="45" s="1"/>
  <c r="V51" i="45" s="1"/>
  <c r="W3" i="25"/>
  <c r="W3" i="49"/>
  <c r="W3" i="26"/>
  <c r="W3" i="48"/>
  <c r="AB6" i="17"/>
  <c r="X4" i="21"/>
  <c r="T88" i="17"/>
  <c r="T93" i="17" s="1"/>
  <c r="T92" i="17"/>
  <c r="W6" i="47"/>
  <c r="AA8" i="45"/>
  <c r="X4" i="47"/>
  <c r="AB6" i="45"/>
  <c r="U89" i="45"/>
  <c r="U87" i="45"/>
  <c r="U53" i="45"/>
  <c r="U57" i="45" s="1"/>
  <c r="S7" i="46"/>
  <c r="S15" i="46" s="1"/>
  <c r="S30" i="46" s="1"/>
  <c r="R19" i="25"/>
  <c r="S32" i="25"/>
  <c r="R19" i="26"/>
  <c r="S32" i="26"/>
  <c r="R19" i="48"/>
  <c r="S32" i="48"/>
  <c r="T92" i="45"/>
  <c r="T88" i="45"/>
  <c r="T93" i="45" s="1"/>
  <c r="V85" i="17"/>
  <c r="V86" i="17" s="1"/>
  <c r="V15" i="17"/>
  <c r="V42" i="17" s="1"/>
  <c r="V46" i="17" s="1"/>
  <c r="V51" i="17" s="1"/>
  <c r="W9" i="17"/>
  <c r="P29" i="46"/>
  <c r="P32" i="46" s="1"/>
  <c r="P33" i="46" s="1"/>
  <c r="P34" i="46"/>
  <c r="R15" i="20"/>
  <c r="T53" i="45"/>
  <c r="T57" i="45" s="1"/>
  <c r="R7" i="46"/>
  <c r="AB10" i="46"/>
  <c r="AA9" i="47" l="1"/>
  <c r="AD62" i="45"/>
  <c r="AE13" i="45"/>
  <c r="A15" i="45"/>
  <c r="Z16" i="25"/>
  <c r="AA16" i="25" s="1"/>
  <c r="AA14" i="25"/>
  <c r="AA9" i="21"/>
  <c r="AD62" i="17"/>
  <c r="A15" i="17"/>
  <c r="AE13" i="17"/>
  <c r="Z16" i="49"/>
  <c r="AA16" i="49" s="1"/>
  <c r="AA14" i="49"/>
  <c r="Z16" i="26"/>
  <c r="AA16" i="26" s="1"/>
  <c r="AA14" i="26"/>
  <c r="Z16" i="48"/>
  <c r="AA16" i="48" s="1"/>
  <c r="AA14" i="48"/>
  <c r="S34" i="46"/>
  <c r="S29" i="46"/>
  <c r="S32" i="46" s="1"/>
  <c r="S33" i="46" s="1"/>
  <c r="S34" i="20"/>
  <c r="S29" i="20"/>
  <c r="S32" i="20" s="1"/>
  <c r="S33" i="20" s="1"/>
  <c r="U92" i="45"/>
  <c r="U88" i="45"/>
  <c r="U93" i="45" s="1"/>
  <c r="X6" i="47"/>
  <c r="AB8" i="45"/>
  <c r="S19" i="48"/>
  <c r="T32" i="48"/>
  <c r="T32" i="25"/>
  <c r="S19" i="25"/>
  <c r="W5" i="26"/>
  <c r="X6" i="21"/>
  <c r="AB8" i="17"/>
  <c r="W5" i="25"/>
  <c r="W5" i="48"/>
  <c r="W5" i="49"/>
  <c r="Y4" i="47"/>
  <c r="AC6" i="45"/>
  <c r="T32" i="26"/>
  <c r="S19" i="26"/>
  <c r="V87" i="17"/>
  <c r="V89" i="17"/>
  <c r="X9" i="17"/>
  <c r="W15" i="17"/>
  <c r="W42" i="17" s="1"/>
  <c r="W46" i="17" s="1"/>
  <c r="W51" i="17" s="1"/>
  <c r="W85" i="17"/>
  <c r="W86" i="17" s="1"/>
  <c r="V53" i="17"/>
  <c r="V57" i="17" s="1"/>
  <c r="T7" i="20"/>
  <c r="T15" i="20" s="1"/>
  <c r="T30" i="20" s="1"/>
  <c r="X3" i="49"/>
  <c r="X3" i="26"/>
  <c r="X3" i="25"/>
  <c r="X3" i="48"/>
  <c r="Y4" i="21"/>
  <c r="AC6" i="17"/>
  <c r="U92" i="17"/>
  <c r="U88" i="17"/>
  <c r="U93" i="17" s="1"/>
  <c r="T7" i="46"/>
  <c r="T15" i="46" s="1"/>
  <c r="T30" i="46" s="1"/>
  <c r="V53" i="45"/>
  <c r="V57" i="45" s="1"/>
  <c r="U5" i="47"/>
  <c r="U7" i="47" s="1"/>
  <c r="U12" i="47" s="1"/>
  <c r="U13" i="47" s="1"/>
  <c r="Y7" i="45"/>
  <c r="V27" i="46"/>
  <c r="V28" i="46" s="1"/>
  <c r="U5" i="21"/>
  <c r="U7" i="21" s="1"/>
  <c r="U12" i="21" s="1"/>
  <c r="U13" i="21" s="1"/>
  <c r="T4" i="48"/>
  <c r="T8" i="48" s="1"/>
  <c r="T18" i="48" s="1"/>
  <c r="T4" i="25"/>
  <c r="T8" i="25" s="1"/>
  <c r="T18" i="25" s="1"/>
  <c r="V27" i="20"/>
  <c r="V28" i="20" s="1"/>
  <c r="T4" i="26"/>
  <c r="T8" i="26" s="1"/>
  <c r="T18" i="26" s="1"/>
  <c r="T4" i="49"/>
  <c r="T8" i="49" s="1"/>
  <c r="T18" i="49" s="1"/>
  <c r="Y7" i="17"/>
  <c r="X9" i="45"/>
  <c r="W85" i="45"/>
  <c r="W86" i="45" s="1"/>
  <c r="W15" i="45"/>
  <c r="W42" i="45" s="1"/>
  <c r="W46" i="45" s="1"/>
  <c r="W51" i="45" s="1"/>
  <c r="V89" i="45"/>
  <c r="V87" i="45"/>
  <c r="R15" i="46"/>
  <c r="R30" i="46" s="1"/>
  <c r="R30" i="20"/>
  <c r="AC10" i="46"/>
  <c r="AD64" i="17" l="1"/>
  <c r="AE62" i="17"/>
  <c r="AD64" i="45"/>
  <c r="AE62" i="45"/>
  <c r="AA10" i="21"/>
  <c r="AB10" i="21" s="1"/>
  <c r="AB9" i="21"/>
  <c r="AA10" i="47"/>
  <c r="AB10" i="47" s="1"/>
  <c r="AB9" i="47"/>
  <c r="V88" i="45"/>
  <c r="V93" i="45" s="1"/>
  <c r="V92" i="45"/>
  <c r="X15" i="45"/>
  <c r="X42" i="45" s="1"/>
  <c r="X46" i="45" s="1"/>
  <c r="X51" i="45" s="1"/>
  <c r="Y9" i="45"/>
  <c r="X85" i="45"/>
  <c r="X86" i="45" s="1"/>
  <c r="T29" i="46"/>
  <c r="T32" i="46" s="1"/>
  <c r="T33" i="46" s="1"/>
  <c r="T34" i="46"/>
  <c r="AD6" i="45"/>
  <c r="Z4" i="47"/>
  <c r="X5" i="48"/>
  <c r="X5" i="25"/>
  <c r="X5" i="49"/>
  <c r="Y6" i="21"/>
  <c r="X5" i="26"/>
  <c r="AC8" i="17"/>
  <c r="W53" i="45"/>
  <c r="W57" i="45" s="1"/>
  <c r="U7" i="46"/>
  <c r="U15" i="46" s="1"/>
  <c r="U30" i="46" s="1"/>
  <c r="Y3" i="48"/>
  <c r="Y3" i="49"/>
  <c r="Y3" i="26"/>
  <c r="Y3" i="25"/>
  <c r="Z4" i="21"/>
  <c r="AD6" i="17"/>
  <c r="W89" i="45"/>
  <c r="W87" i="45"/>
  <c r="T34" i="20"/>
  <c r="T29" i="20"/>
  <c r="T32" i="20" s="1"/>
  <c r="T33" i="20" s="1"/>
  <c r="Y6" i="47"/>
  <c r="AC8" i="45"/>
  <c r="T19" i="25"/>
  <c r="U32" i="25"/>
  <c r="X85" i="17"/>
  <c r="X86" i="17" s="1"/>
  <c r="X15" i="17"/>
  <c r="X42" i="17" s="1"/>
  <c r="X46" i="17" s="1"/>
  <c r="X51" i="17" s="1"/>
  <c r="Y9" i="17"/>
  <c r="T19" i="48"/>
  <c r="U32" i="48"/>
  <c r="V5" i="21"/>
  <c r="V7" i="21" s="1"/>
  <c r="V12" i="21" s="1"/>
  <c r="V13" i="21" s="1"/>
  <c r="Z7" i="17"/>
  <c r="W27" i="20"/>
  <c r="W28" i="20" s="1"/>
  <c r="U4" i="26"/>
  <c r="U8" i="26" s="1"/>
  <c r="U18" i="26" s="1"/>
  <c r="U4" i="48"/>
  <c r="U8" i="48" s="1"/>
  <c r="U18" i="48" s="1"/>
  <c r="U4" i="49"/>
  <c r="U8" i="49" s="1"/>
  <c r="U18" i="49" s="1"/>
  <c r="U4" i="25"/>
  <c r="U8" i="25" s="1"/>
  <c r="U18" i="25" s="1"/>
  <c r="T19" i="26"/>
  <c r="U32" i="26"/>
  <c r="V92" i="17"/>
  <c r="V88" i="17"/>
  <c r="V93" i="17" s="1"/>
  <c r="W53" i="17"/>
  <c r="W57" i="17" s="1"/>
  <c r="U7" i="20"/>
  <c r="U15" i="20" s="1"/>
  <c r="U30" i="20" s="1"/>
  <c r="W87" i="17"/>
  <c r="W89" i="17"/>
  <c r="W27" i="46"/>
  <c r="W28" i="46" s="1"/>
  <c r="V5" i="47"/>
  <c r="V7" i="47" s="1"/>
  <c r="V12" i="47" s="1"/>
  <c r="V13" i="47" s="1"/>
  <c r="Z7" i="45"/>
  <c r="R29" i="46"/>
  <c r="R32" i="46" s="1"/>
  <c r="R33" i="46" s="1"/>
  <c r="R34" i="46"/>
  <c r="R29" i="20"/>
  <c r="R34" i="20"/>
  <c r="AD66" i="45" l="1"/>
  <c r="AE64" i="45"/>
  <c r="AE66" i="45" s="1"/>
  <c r="AD66" i="17"/>
  <c r="AE64" i="17"/>
  <c r="AE66" i="17" s="1"/>
  <c r="U34" i="46"/>
  <c r="U29" i="46"/>
  <c r="U32" i="46" s="1"/>
  <c r="U33" i="46" s="1"/>
  <c r="Y85" i="17"/>
  <c r="Y86" i="17" s="1"/>
  <c r="Z9" i="17"/>
  <c r="Y15" i="17"/>
  <c r="Y42" i="17" s="1"/>
  <c r="Y46" i="17" s="1"/>
  <c r="Y51" i="17" s="1"/>
  <c r="Y5" i="48"/>
  <c r="Y5" i="26"/>
  <c r="AD8" i="17"/>
  <c r="Y5" i="49"/>
  <c r="Z6" i="21"/>
  <c r="Y5" i="25"/>
  <c r="V32" i="26"/>
  <c r="U19" i="26"/>
  <c r="W5" i="47"/>
  <c r="W7" i="47" s="1"/>
  <c r="W12" i="47" s="1"/>
  <c r="W13" i="47" s="1"/>
  <c r="X27" i="46"/>
  <c r="X28" i="46" s="1"/>
  <c r="AA7" i="45"/>
  <c r="U29" i="20"/>
  <c r="U32" i="20" s="1"/>
  <c r="U33" i="20" s="1"/>
  <c r="U34" i="20"/>
  <c r="AA4" i="47"/>
  <c r="AB4" i="47" s="1"/>
  <c r="AE6" i="45"/>
  <c r="X53" i="17"/>
  <c r="X57" i="17" s="1"/>
  <c r="V7" i="20"/>
  <c r="V15" i="20" s="1"/>
  <c r="V30" i="20" s="1"/>
  <c r="X87" i="17"/>
  <c r="X89" i="17"/>
  <c r="W88" i="17"/>
  <c r="W93" i="17" s="1"/>
  <c r="W92" i="17"/>
  <c r="AD8" i="45"/>
  <c r="AA6" i="47" s="1"/>
  <c r="Z6" i="47"/>
  <c r="W92" i="45"/>
  <c r="W88" i="45"/>
  <c r="W93" i="45" s="1"/>
  <c r="X87" i="45"/>
  <c r="X89" i="45"/>
  <c r="Z9" i="45"/>
  <c r="Y15" i="45"/>
  <c r="Y42" i="45" s="1"/>
  <c r="Y46" i="45" s="1"/>
  <c r="Y51" i="45" s="1"/>
  <c r="Y85" i="45"/>
  <c r="Y86" i="45" s="1"/>
  <c r="V32" i="25"/>
  <c r="U19" i="25"/>
  <c r="Z3" i="49"/>
  <c r="AA3" i="49" s="1"/>
  <c r="Z3" i="26"/>
  <c r="AA3" i="26" s="1"/>
  <c r="Z3" i="25"/>
  <c r="AA3" i="25" s="1"/>
  <c r="Z3" i="48"/>
  <c r="AA3" i="48" s="1"/>
  <c r="AA4" i="21"/>
  <c r="AB4" i="21" s="1"/>
  <c r="AE6" i="17"/>
  <c r="X53" i="45"/>
  <c r="X57" i="45" s="1"/>
  <c r="V7" i="46"/>
  <c r="V15" i="46" s="1"/>
  <c r="V30" i="46" s="1"/>
  <c r="W5" i="21"/>
  <c r="W7" i="21" s="1"/>
  <c r="W12" i="21" s="1"/>
  <c r="W13" i="21" s="1"/>
  <c r="X27" i="20"/>
  <c r="X28" i="20" s="1"/>
  <c r="V4" i="49"/>
  <c r="V8" i="49" s="1"/>
  <c r="V18" i="49" s="1"/>
  <c r="V4" i="25"/>
  <c r="V8" i="25" s="1"/>
  <c r="V18" i="25" s="1"/>
  <c r="AA7" i="17"/>
  <c r="V4" i="26"/>
  <c r="V8" i="26" s="1"/>
  <c r="V18" i="26" s="1"/>
  <c r="V4" i="48"/>
  <c r="V8" i="48" s="1"/>
  <c r="V18" i="48" s="1"/>
  <c r="AE8" i="17"/>
  <c r="AE8" i="45"/>
  <c r="U19" i="48"/>
  <c r="V32" i="48"/>
  <c r="R32" i="20"/>
  <c r="Y87" i="45" l="1"/>
  <c r="Y89" i="45"/>
  <c r="W32" i="48"/>
  <c r="V19" i="48"/>
  <c r="Z85" i="45"/>
  <c r="Z86" i="45" s="1"/>
  <c r="Z15" i="45"/>
  <c r="Z42" i="45" s="1"/>
  <c r="Z46" i="45" s="1"/>
  <c r="Z51" i="45" s="1"/>
  <c r="AA9" i="45"/>
  <c r="X5" i="21"/>
  <c r="X7" i="21" s="1"/>
  <c r="X12" i="21" s="1"/>
  <c r="X13" i="21" s="1"/>
  <c r="AB7" i="17"/>
  <c r="Y27" i="20"/>
  <c r="Y28" i="20" s="1"/>
  <c r="W4" i="25"/>
  <c r="W8" i="25" s="1"/>
  <c r="W18" i="25" s="1"/>
  <c r="W4" i="26"/>
  <c r="W8" i="26" s="1"/>
  <c r="W18" i="26" s="1"/>
  <c r="W4" i="48"/>
  <c r="W8" i="48" s="1"/>
  <c r="W18" i="48" s="1"/>
  <c r="W4" i="49"/>
  <c r="W8" i="49" s="1"/>
  <c r="W18" i="49" s="1"/>
  <c r="AB7" i="45"/>
  <c r="X5" i="47"/>
  <c r="X7" i="47" s="1"/>
  <c r="X12" i="47" s="1"/>
  <c r="X13" i="47" s="1"/>
  <c r="Y27" i="46"/>
  <c r="Y28" i="46" s="1"/>
  <c r="W32" i="26"/>
  <c r="V19" i="26"/>
  <c r="AA6" i="21"/>
  <c r="AB6" i="21" s="1"/>
  <c r="Z5" i="48"/>
  <c r="AA5" i="48" s="1"/>
  <c r="Z5" i="49"/>
  <c r="AA5" i="49" s="1"/>
  <c r="Z5" i="26"/>
  <c r="AA5" i="26" s="1"/>
  <c r="Z5" i="25"/>
  <c r="AA5" i="25" s="1"/>
  <c r="Y53" i="45"/>
  <c r="Y57" i="45" s="1"/>
  <c r="W7" i="46"/>
  <c r="W15" i="46" s="1"/>
  <c r="W30" i="46" s="1"/>
  <c r="AA9" i="17"/>
  <c r="Z85" i="17"/>
  <c r="Z86" i="17" s="1"/>
  <c r="Z15" i="17"/>
  <c r="Z42" i="17" s="1"/>
  <c r="Z46" i="17" s="1"/>
  <c r="Z51" i="17" s="1"/>
  <c r="W32" i="25"/>
  <c r="V19" i="25"/>
  <c r="Y53" i="17"/>
  <c r="Y57" i="17" s="1"/>
  <c r="W7" i="20"/>
  <c r="W15" i="20" s="1"/>
  <c r="W30" i="20" s="1"/>
  <c r="X88" i="17"/>
  <c r="X93" i="17" s="1"/>
  <c r="X92" i="17"/>
  <c r="Y87" i="17"/>
  <c r="Y89" i="17"/>
  <c r="AB6" i="47"/>
  <c r="V29" i="46"/>
  <c r="V32" i="46" s="1"/>
  <c r="V33" i="46" s="1"/>
  <c r="V34" i="46"/>
  <c r="V34" i="20"/>
  <c r="V29" i="20"/>
  <c r="V32" i="20" s="1"/>
  <c r="V33" i="20" s="1"/>
  <c r="X92" i="45"/>
  <c r="X88" i="45"/>
  <c r="X93" i="45" s="1"/>
  <c r="R33" i="20"/>
  <c r="AC7" i="45" l="1"/>
  <c r="Y5" i="47"/>
  <c r="Y7" i="47" s="1"/>
  <c r="Y12" i="47" s="1"/>
  <c r="Y13" i="47" s="1"/>
  <c r="Z27" i="46"/>
  <c r="Z28" i="46" s="1"/>
  <c r="X4" i="49"/>
  <c r="X8" i="49" s="1"/>
  <c r="X18" i="49" s="1"/>
  <c r="X4" i="25"/>
  <c r="X8" i="25" s="1"/>
  <c r="X18" i="25" s="1"/>
  <c r="X4" i="26"/>
  <c r="X8" i="26" s="1"/>
  <c r="X18" i="26" s="1"/>
  <c r="X4" i="48"/>
  <c r="X8" i="48" s="1"/>
  <c r="X18" i="48" s="1"/>
  <c r="Y5" i="21"/>
  <c r="Y7" i="21" s="1"/>
  <c r="Y12" i="21" s="1"/>
  <c r="Y13" i="21" s="1"/>
  <c r="AC7" i="17"/>
  <c r="Z27" i="20"/>
  <c r="Z28" i="20" s="1"/>
  <c r="Y88" i="17"/>
  <c r="Y93" i="17" s="1"/>
  <c r="Y92" i="17"/>
  <c r="AB9" i="45"/>
  <c r="AA85" i="45"/>
  <c r="AA86" i="45" s="1"/>
  <c r="AA15" i="45"/>
  <c r="AA42" i="45" s="1"/>
  <c r="AA46" i="45" s="1"/>
  <c r="AA51" i="45" s="1"/>
  <c r="W19" i="25"/>
  <c r="X32" i="25"/>
  <c r="X7" i="20"/>
  <c r="X15" i="20" s="1"/>
  <c r="X30" i="20" s="1"/>
  <c r="Z53" i="17"/>
  <c r="Z57" i="17" s="1"/>
  <c r="X32" i="48"/>
  <c r="W19" i="48"/>
  <c r="AB9" i="17"/>
  <c r="AA15" i="17"/>
  <c r="AA42" i="17" s="1"/>
  <c r="AA46" i="17" s="1"/>
  <c r="AA51" i="17" s="1"/>
  <c r="AA85" i="17"/>
  <c r="AA86" i="17" s="1"/>
  <c r="X32" i="26"/>
  <c r="W19" i="26"/>
  <c r="X7" i="46"/>
  <c r="X15" i="46" s="1"/>
  <c r="X30" i="46" s="1"/>
  <c r="Z53" i="45"/>
  <c r="Z57" i="45" s="1"/>
  <c r="Z89" i="17"/>
  <c r="Z87" i="17"/>
  <c r="W34" i="46"/>
  <c r="W29" i="46"/>
  <c r="W32" i="46" s="1"/>
  <c r="W33" i="46" s="1"/>
  <c r="Z89" i="45"/>
  <c r="Z87" i="45"/>
  <c r="Y88" i="45"/>
  <c r="Y93" i="45" s="1"/>
  <c r="Y92" i="45"/>
  <c r="W29" i="20"/>
  <c r="W34" i="20"/>
  <c r="Z92" i="45" l="1"/>
  <c r="Z88" i="45"/>
  <c r="Z93" i="45" s="1"/>
  <c r="X34" i="20"/>
  <c r="X29" i="20"/>
  <c r="X32" i="20" s="1"/>
  <c r="X33" i="20" s="1"/>
  <c r="Z92" i="17"/>
  <c r="Z88" i="17"/>
  <c r="Z93" i="17" s="1"/>
  <c r="Y4" i="26"/>
  <c r="Y8" i="26" s="1"/>
  <c r="Y18" i="26" s="1"/>
  <c r="Z5" i="21"/>
  <c r="Z7" i="21" s="1"/>
  <c r="Z12" i="21" s="1"/>
  <c r="Z13" i="21" s="1"/>
  <c r="Y4" i="25"/>
  <c r="Y8" i="25" s="1"/>
  <c r="Y18" i="25" s="1"/>
  <c r="Y4" i="48"/>
  <c r="Y8" i="48" s="1"/>
  <c r="Y18" i="48" s="1"/>
  <c r="AD7" i="17"/>
  <c r="AA27" i="20"/>
  <c r="AA28" i="20" s="1"/>
  <c r="Y4" i="49"/>
  <c r="Y8" i="49" s="1"/>
  <c r="Y18" i="49" s="1"/>
  <c r="X34" i="46"/>
  <c r="X29" i="46"/>
  <c r="X32" i="46" s="1"/>
  <c r="X33" i="46" s="1"/>
  <c r="AA87" i="17"/>
  <c r="AA89" i="17"/>
  <c r="AA89" i="45"/>
  <c r="AA87" i="45"/>
  <c r="Y32" i="48"/>
  <c r="X19" i="48"/>
  <c r="AB85" i="45"/>
  <c r="AB86" i="45" s="1"/>
  <c r="AB15" i="45"/>
  <c r="AB42" i="45" s="1"/>
  <c r="AB46" i="45" s="1"/>
  <c r="AB51" i="45" s="1"/>
  <c r="AC9" i="45"/>
  <c r="Y32" i="26"/>
  <c r="X19" i="26"/>
  <c r="Y32" i="25"/>
  <c r="X19" i="25"/>
  <c r="AB85" i="17"/>
  <c r="AB86" i="17" s="1"/>
  <c r="AB15" i="17"/>
  <c r="AB42" i="17" s="1"/>
  <c r="AB46" i="17" s="1"/>
  <c r="AB51" i="17" s="1"/>
  <c r="AC9" i="17"/>
  <c r="AA53" i="45"/>
  <c r="AA57" i="45" s="1"/>
  <c r="Y7" i="46"/>
  <c r="Y15" i="46" s="1"/>
  <c r="Y30" i="46" s="1"/>
  <c r="Y34" i="46" s="1"/>
  <c r="AA53" i="17"/>
  <c r="AA57" i="17" s="1"/>
  <c r="Y7" i="20"/>
  <c r="Y15" i="20" s="1"/>
  <c r="Y30" i="20" s="1"/>
  <c r="Z5" i="47"/>
  <c r="Z7" i="47" s="1"/>
  <c r="Z12" i="47" s="1"/>
  <c r="Z13" i="47" s="1"/>
  <c r="AD7" i="45"/>
  <c r="AA27" i="46"/>
  <c r="AA28" i="46" s="1"/>
  <c r="W32" i="20"/>
  <c r="Y29" i="46"/>
  <c r="AC85" i="17" l="1"/>
  <c r="AC86" i="17" s="1"/>
  <c r="AD9" i="17"/>
  <c r="AC15" i="17"/>
  <c r="AC42" i="17" s="1"/>
  <c r="AC46" i="17" s="1"/>
  <c r="AC51" i="17" s="1"/>
  <c r="AA92" i="45"/>
  <c r="AA88" i="45"/>
  <c r="AA93" i="45" s="1"/>
  <c r="AB27" i="46"/>
  <c r="AE7" i="45"/>
  <c r="AA5" i="47"/>
  <c r="AA7" i="47" s="1"/>
  <c r="AA12" i="47" s="1"/>
  <c r="AA88" i="17"/>
  <c r="AA93" i="17" s="1"/>
  <c r="AA92" i="17"/>
  <c r="Z7" i="20"/>
  <c r="Z15" i="20" s="1"/>
  <c r="Z30" i="20" s="1"/>
  <c r="AB53" i="17"/>
  <c r="AB57" i="17" s="1"/>
  <c r="Y34" i="20"/>
  <c r="Y29" i="20"/>
  <c r="Y32" i="20" s="1"/>
  <c r="Y33" i="20" s="1"/>
  <c r="AD9" i="45"/>
  <c r="AC15" i="45"/>
  <c r="AC42" i="45" s="1"/>
  <c r="AC46" i="45" s="1"/>
  <c r="AC51" i="45" s="1"/>
  <c r="AC85" i="45"/>
  <c r="AC86" i="45" s="1"/>
  <c r="AB5" i="47"/>
  <c r="AA4" i="25"/>
  <c r="AA8" i="25" s="1"/>
  <c r="Z4" i="49"/>
  <c r="Z8" i="49" s="1"/>
  <c r="Z18" i="49" s="1"/>
  <c r="AA18" i="49" s="1"/>
  <c r="AB27" i="20"/>
  <c r="AE7" i="17"/>
  <c r="Z4" i="25"/>
  <c r="Z8" i="25" s="1"/>
  <c r="Z18" i="25" s="1"/>
  <c r="AA32" i="25" s="1"/>
  <c r="Z4" i="48"/>
  <c r="Z4" i="26"/>
  <c r="AA5" i="21"/>
  <c r="AA7" i="21" s="1"/>
  <c r="AA12" i="21" s="1"/>
  <c r="Z32" i="48"/>
  <c r="Y19" i="48"/>
  <c r="AB87" i="17"/>
  <c r="AB89" i="17"/>
  <c r="Z32" i="26"/>
  <c r="Y19" i="26"/>
  <c r="AB5" i="21"/>
  <c r="AB87" i="45"/>
  <c r="AB89" i="45"/>
  <c r="Z32" i="25"/>
  <c r="Y19" i="25"/>
  <c r="AB53" i="45"/>
  <c r="AB57" i="45" s="1"/>
  <c r="Z7" i="46"/>
  <c r="Z15" i="46" s="1"/>
  <c r="Z30" i="46" s="1"/>
  <c r="AE9" i="17"/>
  <c r="Y32" i="46"/>
  <c r="W33" i="20"/>
  <c r="B27" i="25" l="1"/>
  <c r="AB7" i="47"/>
  <c r="Z29" i="46"/>
  <c r="Z32" i="46" s="1"/>
  <c r="Z33" i="46" s="1"/>
  <c r="Z34" i="46"/>
  <c r="AC89" i="45"/>
  <c r="AC87" i="45"/>
  <c r="AB92" i="45"/>
  <c r="AB88" i="45"/>
  <c r="AB93" i="45" s="1"/>
  <c r="AA7" i="46"/>
  <c r="AA15" i="46" s="1"/>
  <c r="AA30" i="46" s="1"/>
  <c r="AA34" i="46" s="1"/>
  <c r="AC53" i="45"/>
  <c r="AC57" i="45" s="1"/>
  <c r="AB92" i="17"/>
  <c r="AB88" i="17"/>
  <c r="AB93" i="17" s="1"/>
  <c r="AC27" i="46"/>
  <c r="AB28" i="46"/>
  <c r="AC28" i="46" s="1"/>
  <c r="AA4" i="49"/>
  <c r="AA8" i="49" s="1"/>
  <c r="AC53" i="17"/>
  <c r="AC57" i="17" s="1"/>
  <c r="AA7" i="20"/>
  <c r="AA15" i="20" s="1"/>
  <c r="AA30" i="20" s="1"/>
  <c r="AA34" i="20" s="1"/>
  <c r="Z29" i="20"/>
  <c r="Z32" i="20" s="1"/>
  <c r="Z33" i="20" s="1"/>
  <c r="Z34" i="20"/>
  <c r="Z8" i="26"/>
  <c r="Z18" i="26" s="1"/>
  <c r="AA4" i="26"/>
  <c r="AA8" i="26" s="1"/>
  <c r="AA18" i="25"/>
  <c r="B28" i="25"/>
  <c r="Z19" i="25"/>
  <c r="B33" i="25" s="1"/>
  <c r="AD85" i="17"/>
  <c r="AD15" i="17"/>
  <c r="AD85" i="45"/>
  <c r="AD86" i="45" s="1"/>
  <c r="AD15" i="45"/>
  <c r="AD42" i="45" s="1"/>
  <c r="AE9" i="45"/>
  <c r="AE85" i="45"/>
  <c r="AB7" i="21"/>
  <c r="AA4" i="48"/>
  <c r="AA8" i="48" s="1"/>
  <c r="Z8" i="48"/>
  <c r="Z18" i="48" s="1"/>
  <c r="AC27" i="20"/>
  <c r="AB28" i="20"/>
  <c r="AC28" i="20" s="1"/>
  <c r="AC89" i="17"/>
  <c r="AC87" i="17"/>
  <c r="AD46" i="45"/>
  <c r="AE42" i="45"/>
  <c r="AA13" i="47"/>
  <c r="AB12" i="47"/>
  <c r="B17" i="47"/>
  <c r="B18" i="47"/>
  <c r="B16" i="47"/>
  <c r="AA13" i="21"/>
  <c r="B17" i="21"/>
  <c r="AB12" i="21"/>
  <c r="B18" i="21"/>
  <c r="B16" i="21"/>
  <c r="AD87" i="45"/>
  <c r="AD89" i="45"/>
  <c r="AE89" i="45" s="1"/>
  <c r="AE86" i="45"/>
  <c r="AA29" i="46"/>
  <c r="Y33" i="46"/>
  <c r="B29" i="25"/>
  <c r="B30" i="25"/>
  <c r="AE15" i="45" l="1"/>
  <c r="AA32" i="26"/>
  <c r="AA18" i="26"/>
  <c r="Z19" i="26"/>
  <c r="B33" i="26" s="1"/>
  <c r="B33" i="49" s="1"/>
  <c r="B28" i="26"/>
  <c r="B29" i="49" s="1"/>
  <c r="B27" i="26"/>
  <c r="B28" i="49" s="1"/>
  <c r="AC88" i="17"/>
  <c r="AC93" i="17" s="1"/>
  <c r="AC92" i="17"/>
  <c r="AD42" i="17"/>
  <c r="AE15" i="17"/>
  <c r="AD86" i="17"/>
  <c r="AE85" i="17"/>
  <c r="AC92" i="45"/>
  <c r="AC88" i="45"/>
  <c r="AC93" i="45" s="1"/>
  <c r="B27" i="48"/>
  <c r="B28" i="48"/>
  <c r="AA32" i="48"/>
  <c r="Z19" i="48"/>
  <c r="AA18" i="48"/>
  <c r="AA29" i="20"/>
  <c r="AA32" i="20" s="1"/>
  <c r="AD88" i="45"/>
  <c r="AD93" i="45" s="1"/>
  <c r="AD92" i="45"/>
  <c r="AE87" i="45"/>
  <c r="AE88" i="45" s="1"/>
  <c r="AD51" i="45"/>
  <c r="AE46" i="45"/>
  <c r="AE51" i="45" s="1"/>
  <c r="AB13" i="47"/>
  <c r="B19" i="47"/>
  <c r="AB13" i="21"/>
  <c r="B19" i="21"/>
  <c r="AA32" i="46"/>
  <c r="B29" i="48" l="1"/>
  <c r="B30" i="48"/>
  <c r="AD89" i="17"/>
  <c r="AE89" i="17" s="1"/>
  <c r="AD87" i="17"/>
  <c r="AE86" i="17"/>
  <c r="AA20" i="25"/>
  <c r="AA21" i="25" s="1"/>
  <c r="AA22" i="48"/>
  <c r="AA23" i="48" s="1"/>
  <c r="B33" i="48"/>
  <c r="AA19" i="48"/>
  <c r="AE42" i="17"/>
  <c r="AD46" i="17"/>
  <c r="AE92" i="45"/>
  <c r="AE93" i="45" s="1"/>
  <c r="B30" i="26"/>
  <c r="B31" i="49" s="1"/>
  <c r="B29" i="26"/>
  <c r="B30" i="49" s="1"/>
  <c r="AB7" i="46"/>
  <c r="AD53" i="45"/>
  <c r="AE53" i="45" s="1"/>
  <c r="AA33" i="46"/>
  <c r="AA33" i="20"/>
  <c r="AD51" i="17" l="1"/>
  <c r="AE46" i="17"/>
  <c r="AE51" i="17" s="1"/>
  <c r="AD88" i="17"/>
  <c r="AD93" i="17" s="1"/>
  <c r="AD92" i="17"/>
  <c r="AE92" i="17" s="1"/>
  <c r="AE93" i="17" s="1"/>
  <c r="AE87" i="17"/>
  <c r="AE88" i="17" s="1"/>
  <c r="AD57" i="45"/>
  <c r="AE57" i="45" s="1"/>
  <c r="AB15" i="46"/>
  <c r="AC7" i="46"/>
  <c r="AB7" i="20" l="1"/>
  <c r="AD53" i="17"/>
  <c r="AE53" i="17" s="1"/>
  <c r="AB30" i="46"/>
  <c r="AC15" i="46"/>
  <c r="AB15" i="20" l="1"/>
  <c r="AC7" i="20"/>
  <c r="AD57" i="17"/>
  <c r="AE57" i="17" s="1"/>
  <c r="AB29" i="46"/>
  <c r="AB34" i="46"/>
  <c r="C37" i="46"/>
  <c r="C38" i="46"/>
  <c r="AC30" i="46"/>
  <c r="AB30" i="20" l="1"/>
  <c r="AC15" i="20"/>
  <c r="C43" i="46"/>
  <c r="AC34" i="46"/>
  <c r="AB32" i="46"/>
  <c r="C41" i="46"/>
  <c r="AC29" i="46"/>
  <c r="C38" i="20" l="1"/>
  <c r="AB34" i="20"/>
  <c r="C43" i="20" s="1"/>
  <c r="AB29" i="20"/>
  <c r="AC30" i="20"/>
  <c r="C37" i="20"/>
  <c r="AB33" i="46"/>
  <c r="AC32" i="46"/>
  <c r="C39" i="46"/>
  <c r="C40" i="46"/>
  <c r="AC29" i="20" l="1"/>
  <c r="AB32" i="20"/>
  <c r="C41" i="20"/>
  <c r="AC33" i="46"/>
  <c r="C42" i="46"/>
  <c r="AB33" i="20" l="1"/>
  <c r="C42" i="20" s="1"/>
  <c r="C40" i="20"/>
  <c r="C39"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tc={AF6D60E1-4E03-4460-84BE-620F63C96FDA}</author>
    <author>José Manuel Heredia</author>
    <author>tc={66A72542-B0D2-4553-A9E3-75032F9B36E1}</author>
    <author>tc={8E2F8832-64D3-4823-A9D7-8E5783A5AB1D}</author>
    <author>tc={5D6E1EF0-5F72-4E86-97C0-FCD885B7CE14}</author>
  </authors>
  <commentList>
    <comment ref="I6" authorId="0" shapeId="0" xr:uid="{AF6D60E1-4E03-4460-84BE-620F63C96FDA}">
      <text>
        <t>[Comentario encadenado]
Su versión de Excel le permite leer este comentario encadenado; sin embargo, las ediciones que se apliquen se quitarán si el archivo se abre en una versión más reciente de Excel. Más información: https://go.microsoft.com/fwlink/?linkid=870924
Comentario:
    A superficie precisa para a instalación de corredores entre as instalacións de xeración colocadas sobre o terreo estímase en 0,5 m2 por cada dúas ringleiras de placas fotovoltaicas.</t>
      </text>
    </comment>
    <comment ref="F18" authorId="1" shapeId="0" xr:uid="{9F807DE1-3C0C-4E45-A418-F1DACD2CC12B}">
      <text>
        <r>
          <rPr>
            <b/>
            <sz val="9"/>
            <color indexed="81"/>
            <rFont val="Tahoma"/>
            <family val="2"/>
          </rPr>
          <t>José Manuel Heredia:</t>
        </r>
        <r>
          <rPr>
            <sz val="9"/>
            <color indexed="81"/>
            <rFont val="Tahoma"/>
            <family val="2"/>
          </rPr>
          <t xml:space="preserve">
Tipo Euríbor a 12 meses a peche do mercado do día 20-02-2024.</t>
        </r>
      </text>
    </comment>
    <comment ref="C20" authorId="2" shapeId="0" xr:uid="{66A72542-B0D2-4553-A9E3-75032F9B36E1}">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Consideramos un prezo de mercado da electricidade de 0,10€ por KWh (100€/MWh), por ser o limiar inferior dos propostos como referencia na reunión de 08/05/2024 con Sapiens Energia, sendo o limiar superior 0,12€/KWh.
Anteriormente, considerábase o prezo medio de mercado no ano 2023, de 88,97 € por MWh.</t>
      </text>
    </comment>
    <comment ref="I24" authorId="1" shapeId="0" xr:uid="{C210DB49-C821-434F-8953-765231AEE585}">
      <text>
        <r>
          <rPr>
            <b/>
            <sz val="9"/>
            <color indexed="81"/>
            <rFont val="Tahoma"/>
            <family val="2"/>
          </rPr>
          <t>José Manuel Heredia:</t>
        </r>
        <r>
          <rPr>
            <sz val="9"/>
            <color indexed="81"/>
            <rFont val="Tahoma"/>
            <family val="2"/>
          </rPr>
          <t xml:space="preserve">
Tómase como referencia a previsión de Taxa de Inflación Interanual aportada por FUNCAS para o conxunto do ano 2024 (Actualización: Xaneiro 2024)</t>
        </r>
      </text>
    </comment>
    <comment ref="B25" authorId="1" shapeId="0" xr:uid="{C068852E-EA09-4BE8-880E-DB5531E2F94C}">
      <text>
        <r>
          <rPr>
            <b/>
            <sz val="9"/>
            <color indexed="81"/>
            <rFont val="Tahoma"/>
            <family val="2"/>
          </rPr>
          <t>José Manuel Heredia:</t>
        </r>
        <r>
          <rPr>
            <sz val="9"/>
            <color indexed="81"/>
            <rFont val="Tahoma"/>
            <family val="2"/>
          </rPr>
          <t xml:space="preserve">
Trátase da proporción que deben representar a enerxía autoconsumida e compensada ou vendida sobre a enerxía total consumida polo socio. Inicialmente, definiuse no 50%. Tras a reunión con Sapiens Energia de 08/05/2024, establécese unha porcentaxe esóxena de aforro do 100% sobre o consumo total (en KWh).</t>
        </r>
      </text>
    </comment>
    <comment ref="I25" authorId="1" shapeId="0" xr:uid="{5414A856-F22A-48F5-A704-C449D83018D5}">
      <text>
        <r>
          <rPr>
            <b/>
            <sz val="9"/>
            <color indexed="81"/>
            <rFont val="Tahoma"/>
            <family val="2"/>
          </rPr>
          <t>José Manuel Heredia:</t>
        </r>
        <r>
          <rPr>
            <sz val="9"/>
            <color indexed="81"/>
            <rFont val="Tahoma"/>
            <family val="2"/>
          </rPr>
          <t xml:space="preserve">
Tómase como referencia a previsión de Taxa de Inflación Interanual correspondente aos Produtos Enerxéticos, aportada por FUNCAS para o conxunto do ano 2024 (Actualización: Xaneiro 2024).</t>
        </r>
      </text>
    </comment>
    <comment ref="I26" authorId="1" shapeId="0" xr:uid="{255A4A95-B27E-4292-81A1-97BB408E62ED}">
      <text>
        <r>
          <rPr>
            <b/>
            <sz val="9"/>
            <color indexed="81"/>
            <rFont val="Tahoma"/>
            <family val="2"/>
          </rPr>
          <t>José Manuel Heredia:</t>
        </r>
        <r>
          <rPr>
            <sz val="9"/>
            <color indexed="81"/>
            <rFont val="Tahoma"/>
            <family val="2"/>
          </rPr>
          <t xml:space="preserve">
Tómase como referencia a previsión de Taxa de Inflación Interanual, correspondente ao conxunto dos Servizos Totais, aportada por FUNCAS para o conxunto do ano 2024 (Actualización: Xaneiro 2024)</t>
        </r>
      </text>
    </comment>
    <comment ref="B27" authorId="1" shapeId="0" xr:uid="{A9137D9B-2550-48D2-9ECA-3807FEE2BAA2}">
      <text>
        <r>
          <rPr>
            <b/>
            <sz val="9"/>
            <color indexed="81"/>
            <rFont val="Tahoma"/>
            <family val="2"/>
          </rPr>
          <t>José Manuel Heredia:</t>
        </r>
        <r>
          <rPr>
            <sz val="9"/>
            <color indexed="81"/>
            <rFont val="Tahoma"/>
            <family val="2"/>
          </rPr>
          <t xml:space="preserve">
Trátase da proporción da enerxía que, non sendo autoconsumida instantaneamente, destínase á compensación e recibe unha retribución económica efectiva por parte da comercializadora. Inicialmente, establecíase esta proporción no 45%. Tras a reunión con Sapiens Energia de 08/05/2024, increméntase esta proporción atao 75%, reflectindo así que só un 25% da enerxía destinada a compensación podería non ser retribuída.</t>
        </r>
      </text>
    </comment>
    <comment ref="I27" authorId="1" shapeId="0" xr:uid="{3B37FF39-E3C8-48FD-BF53-CDC26938574A}">
      <text>
        <r>
          <rPr>
            <b/>
            <sz val="9"/>
            <color indexed="81"/>
            <rFont val="Tahoma"/>
            <family val="2"/>
          </rPr>
          <t>José Manuel Heredia:</t>
        </r>
        <r>
          <rPr>
            <sz val="9"/>
            <color indexed="81"/>
            <rFont val="Tahoma"/>
            <family val="2"/>
          </rPr>
          <t xml:space="preserve">
Tómase como referencia a previsión de Taxa de Inflación Interanual, correspondente ao conxunto dos Servizos Totais, aportada por FUNCAS para o conxunto do ano 2024 (Actualización: Xaneiro 2024)</t>
        </r>
      </text>
    </comment>
    <comment ref="F30" authorId="3" shapeId="0" xr:uid="{8E2F8832-64D3-4823-A9D7-8E5783A5AB1D}">
      <text>
        <t>[Comentario encadenado]
Su versión de Excel le permite leer este comentario encadenado; sin embargo, las ediciones que se apliquen se quitarán si el archivo se abre en una versión más reciente de Excel. Más información: https://go.microsoft.com/fwlink/?linkid=870924
Comentario:
    Valor de Referencia Aproximado: 0,50€/Mes.</t>
      </text>
    </comment>
    <comment ref="B34" authorId="4" shapeId="0" xr:uid="{5D6E1EF0-5F72-4E86-97C0-FCD885B7CE14}">
      <text>
        <t>[Comentario encadenado]
Su versión de Excel le permite leer este comentario encadenado; sin embargo, las ediciones que se apliquen se quitarán si el archivo se abre en una versión más reciente de Excel. Más información: https://go.microsoft.com/fwlink/?linkid=870924
Comentario:
    Esta elección só ten impacto para o cálculo do Estado de Fluxos de Efectivo (Fluxo de Caixa, Folla Actual do Libro Excel).
O impacto é o seguinte: Se seleccionamos Si, incluimos o valor da enerxía producida como ingreso que si xera un fluxo (pseudo-monetario). Se así o facemos, non se corrixe o resultado de explotación para excluír do mesmo o valor da enerxía xerada. Agora ben, para reflectir que este valor non fica na entidade senón que é transmitido aos seus socios, ao seleccionar 'Si' engádese un dividendo polo mesmo valor da enerxía xerada que se considerou ingreso.
No caso oposto, se seleccionamos nesta cela Inclusión do Valor da Enerxía Producida = Non, corríxese o resultado de explotación para excluír directamente do mesmo o valor da enerxía (Primeira ringleira baixo a de resultado de explotación). En contrapartida, ademáis, o dividendo a favor dos accionistas toma valor cero.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José Manuel Heredia</author>
    <author>tc={D3BABB68-DF78-4851-B760-228452AD0F07}</author>
    <author>tc={A21065AE-FC24-41AD-9D6F-30F53E1CC08F}</author>
    <author>tc={E4204989-631F-44FB-AAEB-C483E076EB0C}</author>
  </authors>
  <commentList>
    <comment ref="B4" authorId="0" shapeId="0" xr:uid="{06C05D79-B1EC-4741-A30F-1FAF68F481D8}">
      <text>
        <r>
          <rPr>
            <b/>
            <sz val="9"/>
            <color indexed="81"/>
            <rFont val="Tahoma"/>
            <family val="2"/>
          </rPr>
          <t>José Manuel Heredia:</t>
        </r>
        <r>
          <rPr>
            <sz val="9"/>
            <color indexed="81"/>
            <rFont val="Tahoma"/>
            <family val="2"/>
          </rPr>
          <t xml:space="preserve">
Compras de materiais precisos no proceso produtivo (produción da enerxía, no noso caso), distintos de materias primas ou mercadorías (que non existirían como tales no noso caso).</t>
        </r>
      </text>
    </comment>
    <comment ref="B10" authorId="0" shapeId="0" xr:uid="{812E349A-1EA1-43ED-9D4A-7E68FB4E6D5D}">
      <text>
        <r>
          <rPr>
            <b/>
            <sz val="9"/>
            <color indexed="81"/>
            <rFont val="Tahoma"/>
            <family val="2"/>
          </rPr>
          <t>José Manuel Heredia:</t>
        </r>
        <r>
          <rPr>
            <sz val="9"/>
            <color indexed="81"/>
            <rFont val="Tahoma"/>
            <family val="2"/>
          </rPr>
          <t xml:space="preserve">
Traballos encargados a empresas externas, cando formen parte do proceso produtivo propio da empresa (no noso caso, a produción de enerxía).</t>
        </r>
      </text>
    </comment>
    <comment ref="C16" authorId="1" shapeId="0" xr:uid="{D3BABB68-DF78-4851-B760-228452AD0F07}">
      <text>
        <t>[Comentario encadenado]
Su versión de Excel le permite leer este comentario encadenado; sin embargo, las ediciones que se apliquen se quitarán si el archivo se abre en una versión más reciente de Excel. Más información: https://go.microsoft.com/fwlink/?linkid=870924
Comentario:
    Reducimos as unidades de persoal ata 0,125 (1 hora ao día; 5 á semana) para atender ás labores propias da xestión da Comunidade.</t>
      </text>
    </comment>
    <comment ref="C17" authorId="0" shapeId="0" xr:uid="{149D9B89-BDD2-4735-A428-29CDDC769CF2}">
      <text>
        <r>
          <rPr>
            <b/>
            <sz val="9"/>
            <color indexed="81"/>
            <rFont val="Tahoma"/>
            <family val="2"/>
          </rPr>
          <t>José Manuel Heredia:</t>
        </r>
        <r>
          <rPr>
            <sz val="9"/>
            <color indexed="81"/>
            <rFont val="Tahoma"/>
            <family val="2"/>
          </rPr>
          <t xml:space="preserve">
Os custos de Seguridade Social a cargo da empresa adoitan oscilar, aproximadamente, entre o 30 e o 35% da base de cotización, sendo posible identificar esta base co salario bruto.</t>
        </r>
      </text>
    </comment>
    <comment ref="D17" authorId="0" shapeId="0" xr:uid="{F687982E-053E-46FF-9EA8-96A9BFE27E86}">
      <text>
        <r>
          <rPr>
            <b/>
            <sz val="9"/>
            <color indexed="81"/>
            <rFont val="Tahoma"/>
            <family val="2"/>
          </rPr>
          <t>José Manuel Heredia:</t>
        </r>
        <r>
          <rPr>
            <sz val="9"/>
            <color indexed="81"/>
            <rFont val="Tahoma"/>
            <family val="2"/>
          </rPr>
          <t xml:space="preserve">
Tomamos como base o importe do salario bruto que obtivemos, para todos os traballadores (Unidades x Valor Unit. Mensual).</t>
        </r>
      </text>
    </comment>
    <comment ref="C25" authorId="0" shapeId="0" xr:uid="{A7CA28C3-8426-4BCE-96A0-58DAE6297109}">
      <text>
        <r>
          <rPr>
            <b/>
            <sz val="9"/>
            <color indexed="81"/>
            <rFont val="Tahoma"/>
            <family val="2"/>
          </rPr>
          <t>José Manuel Heredia:</t>
        </r>
        <r>
          <rPr>
            <sz val="9"/>
            <color indexed="81"/>
            <rFont val="Tahoma"/>
            <family val="2"/>
          </rPr>
          <t xml:space="preserve">
Tomamos aquí como Unidades, directamente, os Metros cadrados de terreo necesarios para emprazar as instalacións de xeración de enerxía.</t>
        </r>
      </text>
    </comment>
    <comment ref="D25" authorId="2" shapeId="0" xr:uid="{A21065AE-FC24-41AD-9D6F-30F53E1CC08F}">
      <text>
        <t>[Comentario encadenado]
Su versión de Excel le permite leer este comentario encadenado; sin embargo, las ediciones que se apliquen se quitarán si el archivo se abre en una versión más reciente de Excel. Más información: https://go.microsoft.com/fwlink/?linkid=870924
Comentario:
    En coherencia co mencionado no comentario sobre as Unidades, o Valor Unitario quedaría aquí definido como a retribución bruta anual por metro cadrado de terreo cedido para emprazar as instalacións enerxéticas.
Establecemos un valor unitario de 1,2 que supón 12€ anuais (1€ ao mes) por cada 10 metros cadrados de terreo cedido.</t>
      </text>
    </comment>
    <comment ref="E36" authorId="0" shapeId="0" xr:uid="{1C72BE74-0702-424C-8B91-FFC1EB28366E}">
      <text>
        <r>
          <rPr>
            <b/>
            <sz val="9"/>
            <color indexed="81"/>
            <rFont val="Tahoma"/>
            <family val="2"/>
          </rPr>
          <t>José Manuel Heredia:</t>
        </r>
        <r>
          <rPr>
            <sz val="9"/>
            <color indexed="81"/>
            <rFont val="Tahoma"/>
            <family val="2"/>
          </rPr>
          <t xml:space="preserve">
Pódese considerar que o custo de 240€ anuais en servicios bancarios corresponde a comisións bancarias por valor de 60€ trimestrais.</t>
        </r>
      </text>
    </comment>
    <comment ref="D44" authorId="0" shapeId="0" xr:uid="{84FA32A6-B31B-4DB5-9000-CA933707EA63}">
      <text>
        <r>
          <rPr>
            <b/>
            <sz val="9"/>
            <color indexed="81"/>
            <rFont val="Tahoma"/>
            <family val="2"/>
          </rPr>
          <t>José Manuel Heredia:</t>
        </r>
        <r>
          <rPr>
            <sz val="9"/>
            <color indexed="81"/>
            <rFont val="Tahoma"/>
            <family val="2"/>
          </rPr>
          <t xml:space="preserve">
No subministro de electricidade, podemos considerar, por exemplo, unha parte fixa de 0,13€ por cada kWh e día, que para unha instalación de 3,3 kW de potencia, resultaría nun importe fixo mensual de 12,87€</t>
        </r>
      </text>
    </comment>
    <comment ref="D45" authorId="0" shapeId="0" xr:uid="{C4D3735E-26F2-4C05-A2EF-416C1CC2E334}">
      <text>
        <r>
          <rPr>
            <b/>
            <sz val="9"/>
            <color indexed="81"/>
            <rFont val="Tahoma"/>
            <family val="2"/>
          </rPr>
          <t>José Manuel Heredia:</t>
        </r>
        <r>
          <rPr>
            <sz val="9"/>
            <color indexed="81"/>
            <rFont val="Tahoma"/>
            <family val="2"/>
          </rPr>
          <t xml:space="preserve">
En canto ao termo de enerxía e outros conceptos, poderiamos cifralo, por exemplo, en 0,13€ por cada Kwh de consumo enerxético. Sendo isto así, cun consumo, por exemplo, de 100 KWh ao mes, resultaría un importe mensual de 13€.</t>
        </r>
      </text>
    </comment>
    <comment ref="E60" authorId="3" shapeId="0" xr:uid="{E4204989-631F-44FB-AAEB-C483E076EB0C}">
      <text>
        <t>[Comentario encadenado]
Su versión de Excel le permite leer este comentario encadenado; sin embargo, las ediciones que se apliquen se quitarán si el archivo se abre en una versión más reciente de Excel. Más información: https://go.microsoft.com/fwlink/?linkid=870924
Comentario:
    Comprobar que pasa con CE con autoconsumo
Respuesta:
    Vincúlase o valor da 'cota íntegra', no relativo á garantía, á necesidade ou non de prestación da mesma, que se incorpora como variable na Folla de Hipóteses Xerais e toma valor Si ou Non.</t>
      </text>
    </comment>
    <comment ref="E64" authorId="0" shapeId="0" xr:uid="{0FD3657B-70D4-46B4-9D53-1DE326D148DA}">
      <text>
        <r>
          <rPr>
            <b/>
            <sz val="9"/>
            <color indexed="81"/>
            <rFont val="Tahoma"/>
            <family val="2"/>
          </rPr>
          <t>José Manuel Heredia:</t>
        </r>
        <r>
          <rPr>
            <sz val="9"/>
            <color indexed="81"/>
            <rFont val="Tahoma"/>
            <family val="2"/>
          </rPr>
          <t xml:space="preserve">
</t>
        </r>
        <r>
          <rPr>
            <u/>
            <sz val="9"/>
            <color indexed="81"/>
            <rFont val="Tahoma"/>
            <family val="2"/>
          </rPr>
          <t>IMPORTANTE</t>
        </r>
        <r>
          <rPr>
            <sz val="9"/>
            <color indexed="81"/>
            <rFont val="Tahoma"/>
            <family val="2"/>
          </rPr>
          <t>: A fórmula que contén esta cela só é válida para proxectos de entre 60.000€ e 6.000.000 de Euros de Orzamento de Execución Material. Para importes inferiores a 60.000€, esta fórmula consideraría a taxa correspondente a 60.000€ (191,25€). Para valores superiores a 6.000.000 de Euros de Orzamento de Execución Material, esta fórmula non é válida.</t>
        </r>
      </text>
    </comment>
    <comment ref="B72" authorId="0" shapeId="0" xr:uid="{032066E8-7095-4ADD-A49D-C272FD68614C}">
      <text>
        <r>
          <rPr>
            <b/>
            <sz val="9"/>
            <color indexed="81"/>
            <rFont val="Tahoma"/>
            <family val="2"/>
          </rPr>
          <t>José Manuel Heredia:</t>
        </r>
        <r>
          <rPr>
            <sz val="9"/>
            <color indexed="81"/>
            <rFont val="Tahoma"/>
            <family val="2"/>
          </rPr>
          <t xml:space="preserve">
Referímonos aquí a perdas derivadas das operacións ordinarias da entidade. Por exemplo, a regularización das existencias de útiles e ferramentas.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José Manuel Heredia</author>
    <author>tc={23CA4169-CA8C-49B0-8FC4-76518AE70181}</author>
    <author>tc={1A50E762-CD94-45A0-8143-13B7B2D2E5E5}</author>
    <author>tc={CC8C5A2A-E317-40E3-8137-8B1DB8BC5824}</author>
    <author>tc={739CD790-231A-47F1-A87C-CBDC13B83F76}</author>
    <author>tc={92B13292-A4DE-4D27-B69E-CD90F6F562FE}</author>
    <author>tc={6CD96446-73AC-4F4F-A639-C39FEDCDCF22}</author>
  </authors>
  <commentList>
    <comment ref="F21" authorId="0" shapeId="0" xr:uid="{00000000-0006-0000-0100-000001000000}">
      <text>
        <r>
          <rPr>
            <b/>
            <sz val="9"/>
            <color indexed="81"/>
            <rFont val="Tahoma"/>
            <family val="2"/>
          </rPr>
          <t>José Manuel Heredia:</t>
        </r>
        <r>
          <rPr>
            <sz val="9"/>
            <color indexed="81"/>
            <rFont val="Tahoma"/>
            <family val="2"/>
          </rPr>
          <t xml:space="preserve">
Tipo Euríbor a 12 meses a peche do mercado do día 20-02-2024.</t>
        </r>
      </text>
    </comment>
    <comment ref="C22" authorId="1" shapeId="0" xr:uid="{23CA4169-CA8C-49B0-8FC4-76518AE70181}">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Consideramos un prezo de mercado da electricidade de 0,10€ por KWh (100€/MWh), por ser o limiar inferior dos propostos como referencia na reunión de 08/05/2024 con Sapiens Energia, sendo o limiar superior 0,12€/KWh.
Anteriormente, considerábase o prezo medio de mercado no ano 2023, de 88,97 € por MWh.</t>
      </text>
    </comment>
    <comment ref="C40" authorId="0" shapeId="0" xr:uid="{00000000-0006-0000-0100-000002000000}">
      <text>
        <r>
          <rPr>
            <b/>
            <sz val="9"/>
            <color indexed="81"/>
            <rFont val="Tahoma"/>
            <family val="2"/>
          </rPr>
          <t>José Manuel Heredia:</t>
        </r>
        <r>
          <rPr>
            <sz val="9"/>
            <color indexed="81"/>
            <rFont val="Tahoma"/>
            <family val="2"/>
          </rPr>
          <t xml:space="preserve">
Tómase como referencia a previsión de Taxa de Inflación Interanual aportada por FUNCAS para o conxunto do ano 2024 (Actualización: Xaneiro 2024)</t>
        </r>
      </text>
    </comment>
    <comment ref="F40" authorId="2" shapeId="0" xr:uid="{1A50E762-CD94-45A0-8143-13B7B2D2E5E5}">
      <text>
        <t>[Comentario encadenado]
Su versión de Excel le permite leer este comentario encadenado; sin embargo, las ediciones que se apliquen se quitarán si el archivo se abre en una versión más reciente de Excel. Más información: https://go.microsoft.com/fwlink/?linkid=870924
Comentario:
    Valor de Referencia Aproximado: 0,50€/Mes.</t>
      </text>
    </comment>
    <comment ref="C41" authorId="0" shapeId="0" xr:uid="{00000000-0006-0000-0100-000003000000}">
      <text>
        <r>
          <rPr>
            <b/>
            <sz val="9"/>
            <color indexed="81"/>
            <rFont val="Tahoma"/>
            <family val="2"/>
          </rPr>
          <t>José Manuel Heredia:</t>
        </r>
        <r>
          <rPr>
            <sz val="9"/>
            <color indexed="81"/>
            <rFont val="Tahoma"/>
            <family val="2"/>
          </rPr>
          <t xml:space="preserve">
Tómase como referencia a previsión de Taxa de Inflación Interanual correspondente aos Produtos Enerxéticos, aportada por FUNCAS para o conxunto do ano 2024 (Actualización: Xaneiro 2024).</t>
        </r>
      </text>
    </comment>
    <comment ref="F41" authorId="3" shapeId="0" xr:uid="{CC8C5A2A-E317-40E3-8137-8B1DB8BC5824}">
      <text>
        <t>[Comentario encadenado]
Su versión de Excel le permite leer este comentario encadenado; sin embargo, las ediciones que se apliquen se quitarán si el archivo se abre en una versión más reciente de Excel. Más información: https://go.microsoft.com/fwlink/?linkid=870924
Comentario:
    Valor de Referencia Aproximado: 2-3€/Mes.</t>
      </text>
    </comment>
    <comment ref="C42" authorId="0" shapeId="0" xr:uid="{00000000-0006-0000-0100-000004000000}">
      <text>
        <r>
          <rPr>
            <b/>
            <sz val="9"/>
            <color indexed="81"/>
            <rFont val="Tahoma"/>
            <family val="2"/>
          </rPr>
          <t>José Manuel Heredia:</t>
        </r>
        <r>
          <rPr>
            <sz val="9"/>
            <color indexed="81"/>
            <rFont val="Tahoma"/>
            <family val="2"/>
          </rPr>
          <t xml:space="preserve">
Tómase como referencia a previsión de Taxa de Inflación Interanual, correspondente ao conxunto dos Servizos Totais, aportada por FUNCAS para o conxunto do ano 2024 (Actualización: Xaneiro 2024)</t>
        </r>
      </text>
    </comment>
    <comment ref="I47" authorId="4" shapeId="0" xr:uid="{739CD790-231A-47F1-A87C-CBDC13B83F76}">
      <text>
        <t>[Comentario encadenado]
Su versión de Excel le permite leer este comentario encadenado; sin embargo, las ediciones que se apliquen se quitarán si el archivo se abre en una versión más reciente de Excel. Más información: https://go.microsoft.com/fwlink/?linkid=870924
Comentario:
    Dado que a proporción de autoconsumo que se logre estará moi influída pola medida en que a heteroxeneidade nos perfís de demanda dos socios  permita aproximar a demanda conxunta da base de socios ao perfil horario de produción de enerxía da comunidade; e isto dependerá de que haxa un número de empresas que proporcionalmente sexa equilibrado co número de prosumidores residenciais, a proporción de autoconsumo elíxese automáticamente segundo sexa a composición da base de socios.
Especificamente, cando a diferencia en valor absoluto entre as porcentaxes de particulares e empresas sobre o total de socios non supera o 20%, aplícase a máxima proporción de autoconsumo (50%). Cando esa mesma diferencia supera o 20% pero non supera o 40%, aplícase unha proporción de autoconsumo intermedia (40%).
Finalmente, se a diferencia anterior é de máis de 40 puntos porcentuais, asúmese o escenario máis desfavorable (Só un 30% da enerxía producida poderá ser efectivamente destinada ao autoconsumo).</t>
      </text>
    </comment>
    <comment ref="B70" authorId="0" shapeId="0" xr:uid="{00000000-0006-0000-0100-000005000000}">
      <text>
        <r>
          <rPr>
            <b/>
            <sz val="9"/>
            <color indexed="81"/>
            <rFont val="Tahoma"/>
            <family val="2"/>
          </rPr>
          <t>José Manuel Heredia:</t>
        </r>
        <r>
          <rPr>
            <sz val="9"/>
            <color indexed="81"/>
            <rFont val="Tahoma"/>
            <family val="2"/>
          </rPr>
          <t xml:space="preserve">
Trátase da proporción que deben representar a enerxía autoconsumida e compensada ou vendida sobre a enerxía total consumida polo socio. Inicialmente, definiuse no 50%. Tras a reunión con Sapiens Energia de 08/05/2024, establécese unha porcentaxe esóxena de aforro do 100% sobre o consumo total (en KWh).</t>
        </r>
      </text>
    </comment>
    <comment ref="B71" authorId="0" shapeId="0" xr:uid="{138890A3-BEB4-43F2-8D8F-14DB94918076}">
      <text>
        <r>
          <rPr>
            <b/>
            <sz val="9"/>
            <color indexed="81"/>
            <rFont val="Tahoma"/>
            <family val="2"/>
          </rPr>
          <t>José Manuel Heredia:</t>
        </r>
        <r>
          <rPr>
            <sz val="9"/>
            <color indexed="81"/>
            <rFont val="Tahoma"/>
            <family val="2"/>
          </rPr>
          <t xml:space="preserve">
Trátase da proporción da enerxía que, non sendo autoconsumida instantaneamente, destínase á compensación e recibe unha retribución económica efectiva por parte da comercializadora. Inicialmente, establecíase esta proporción no 45%. Tras a reunión con Sapiens Energia de 08/05/2024, increméntase esta proporción atao 75%, reflectindo así que só un 25% da enerxía destinada a compensación podería non ser retribuída.</t>
        </r>
      </text>
    </comment>
    <comment ref="G79" authorId="5" shapeId="0" xr:uid="{92B13292-A4DE-4D27-B69E-CD90F6F562FE}">
      <text>
        <t>[Comentario encadenado]
Su versión de Excel le permite leer este comentario encadenado; sin embargo, las ediciones que se apliquen se quitarán si el archivo se abre en una versión más reciente de Excel. Más información: https://go.microsoft.com/fwlink/?linkid=870924
Comentario:
    A superficie precisa para a instalación de corredores entre as instalacións de xeración colocadas sobre o terreo estímase en 0,5 m2 por cada dúas ringleiras de placas fotovoltaicas.</t>
      </text>
    </comment>
    <comment ref="C84" authorId="6" shapeId="0" xr:uid="{6CD96446-73AC-4F4F-A639-C39FEDCDCF22}">
      <text>
        <t>[Comentario encadenado]
Su versión de Excel le permite leer este comentario encadenado; sin embargo, las ediciones que se apliquen se quitarán si el archivo se abre en una versión más reciente de Excel. Más información: https://go.microsoft.com/fwlink/?linkid=870924
Comentario:
    A cota de Amortización Anual resulta para todos os anos a mesma e resulta de sumar os importes das cotas que corresponderían aos gastos de constitución, á amortización do inversor e á amortización do resto das instalacións.
A cota correspondente ao inversor mantense ata o final da vida do proxecto (25 anos), posto que debe entenderse que cando estea plenamente amortizado (ao cabo de 10 anos) será substituído por outro que tamén haberá que ir amortizando (tamén nun prazo de dez anos), e así sucesivamente.</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José Manuel Heredia</author>
    <author>tc={771C450A-A6CB-45F7-9143-432C1E0FFCC7}</author>
  </authors>
  <commentList>
    <comment ref="C17" authorId="0" shapeId="0" xr:uid="{00000000-0006-0000-0500-000001000000}">
      <text>
        <r>
          <rPr>
            <b/>
            <sz val="9"/>
            <color indexed="81"/>
            <rFont val="Tahoma"/>
            <family val="2"/>
          </rPr>
          <t>José Manuel Heredia:</t>
        </r>
        <r>
          <rPr>
            <sz val="9"/>
            <color indexed="81"/>
            <rFont val="Tahoma"/>
            <family val="2"/>
          </rPr>
          <t xml:space="preserve">
Compras de materiais precisos no proceso produtivo (produción da enerxía, no noso caso), distintos de materias primas ou mercadorías (que non existirían como tales no noso caso).</t>
        </r>
      </text>
    </comment>
    <comment ref="C18" authorId="0" shapeId="0" xr:uid="{00000000-0006-0000-0500-000002000000}">
      <text>
        <r>
          <rPr>
            <b/>
            <sz val="9"/>
            <color indexed="81"/>
            <rFont val="Tahoma"/>
            <family val="2"/>
          </rPr>
          <t>José Manuel Heredia:</t>
        </r>
        <r>
          <rPr>
            <sz val="9"/>
            <color indexed="81"/>
            <rFont val="Tahoma"/>
            <family val="2"/>
          </rPr>
          <t xml:space="preserve">
Traballos encargados a empresas externas, cando formen parte do proceso produtivo propio da empresa (no noso caso, a produción de enerxía).</t>
        </r>
      </text>
    </comment>
    <comment ref="C39" authorId="0" shapeId="0" xr:uid="{00000000-0006-0000-0500-000003000000}">
      <text>
        <r>
          <rPr>
            <b/>
            <sz val="9"/>
            <color indexed="81"/>
            <rFont val="Tahoma"/>
            <family val="2"/>
          </rPr>
          <t>José Manuel Heredia:</t>
        </r>
        <r>
          <rPr>
            <sz val="9"/>
            <color indexed="81"/>
            <rFont val="Tahoma"/>
            <family val="2"/>
          </rPr>
          <t xml:space="preserve">
Referímonos aquí a perdas derivadas das operacións ordinarias da entidade. Por exemplo, a regularización das existencias de útiles e ferramentas.</t>
        </r>
      </text>
    </comment>
    <comment ref="C65" authorId="1" shapeId="0" xr:uid="{771C450A-A6CB-45F7-9143-432C1E0FFCC7}">
      <text>
        <t>[Comentario encadenado]
Su versión de Excel le permite leer este comentario encadenado; sin embargo, las ediciones que se apliquen se quitarán si el archivo se abre en una versión más reciente de Excel. Más información: https://go.microsoft.com/fwlink/?linkid=870924
Comentario:
    Engádese aquí unha compoñente de custo extra que se calcula como o resultado de capitalizar o investimento necesario para o primeiro inversor durante os 15 anos da súa vida útil estimada, a un tipo de interese anual exactamente igual á taxa de inflación interanual esperada. Obtense así a estimación de canto custaría renovar o inversor no ano 15. Ese importe divídese entre o número de anos de vida útil, xa que é preciso telo percibido, na súa totalidad, por parte da comunidade, unha vez o inversor inicial acade a fin da súa vida útil e, consecuentemente, deba adquirirse o novo inversor.
A inclusión deste custo adicional ao calcular a cota a satisfacer polos socios é a contrapartida á exclusión do desembolso incial do investimento necesario para afrontar a renovación do inversor.</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José Manuel Heredia</author>
    <author>tc={923091CE-2E39-427E-BF4C-0EE24E614A40}</author>
    <author>tc={50B50DD9-D05C-43BE-9381-2529D18F9610}</author>
    <author>tc={49DD58CA-9F5D-4429-A795-5D41274FEC70}</author>
    <author>tc={3B810885-D8A0-483D-A7C6-79FB70B5562C}</author>
    <author>tc={22208B18-1B10-48C4-81CA-82227119E252}</author>
    <author>tc={13607609-3C8A-4F21-86B7-EDA984B07BE0}</author>
    <author>tc={2672A468-1962-45B5-B329-61EDC4FEF571}</author>
    <author>tc={F484AF31-2532-4E5F-98CA-4EA91F94DA67}</author>
    <author>tc={43427D79-82C1-48CB-91B7-233770E90FE4}</author>
    <author>tc={893934FE-1478-4D52-A5C0-8C763893237E}</author>
    <author>tc={BCEFC7B4-6BAE-4D84-AED0-CC1BDE90E831}</author>
    <author>tc={193C7A23-4D24-4199-9A28-7892223E95DF}</author>
  </authors>
  <commentList>
    <comment ref="C7" authorId="0" shapeId="0" xr:uid="{00000000-0006-0000-0600-000001000000}">
      <text>
        <r>
          <rPr>
            <b/>
            <sz val="9"/>
            <color indexed="81"/>
            <rFont val="Tahoma"/>
            <family val="2"/>
          </rPr>
          <t>José Manuel Heredia:</t>
        </r>
        <r>
          <rPr>
            <sz val="9"/>
            <color indexed="81"/>
            <rFont val="Tahoma"/>
            <family val="2"/>
          </rPr>
          <t xml:space="preserve">
Compras de materiais precisos no proceso produtivo (produción da enerxía, no noso caso), distintos de materias primas ou mercadorías (que non existirían como tales no noso caso).</t>
        </r>
      </text>
    </comment>
    <comment ref="C13" authorId="0" shapeId="0" xr:uid="{00000000-0006-0000-0600-000002000000}">
      <text>
        <r>
          <rPr>
            <b/>
            <sz val="9"/>
            <color indexed="81"/>
            <rFont val="Tahoma"/>
            <family val="2"/>
          </rPr>
          <t>José Manuel Heredia:</t>
        </r>
        <r>
          <rPr>
            <sz val="9"/>
            <color indexed="81"/>
            <rFont val="Tahoma"/>
            <family val="2"/>
          </rPr>
          <t xml:space="preserve">
Traballos encargados a empresas externas, cando formen parte do proceso produtivo propio da empresa (no noso caso, a produción de enerxía).</t>
        </r>
      </text>
    </comment>
    <comment ref="D17" authorId="1" shapeId="0" xr:uid="{923091CE-2E39-427E-BF4C-0EE24E614A40}">
      <text>
        <t>[Comentario encadenado]
Su versión de Excel le permite leer este comentario encadenado; sin embargo, las ediciones que se apliquen se quitarán si el archivo se abre en una versión más reciente de Excel. Más información: https://go.microsoft.com/fwlink/?linkid=870924
Comentario:
    Reducimos as unidades de persoal ata 0,125 (1 hora ao día; 5 á semana) para atender ás labores propias da xestión da Comunidade.</t>
      </text>
    </comment>
    <comment ref="F17" authorId="2" shapeId="0" xr:uid="{50B50DD9-D05C-43BE-9381-2529D18F9610}">
      <text>
        <t>[Comentario encadenado]
Su versión de Excel le permite leer este comentario encadenado; sin embargo, las ediciones que se apliquen se quitarán si el archivo se abre en una versión más reciente de Excel. Más información: https://go.microsoft.com/fwlink/?linkid=870924
Comentario:
    Para permitir a opción da subcontratación das actividades de Xestión,  esta cela (Soldos e Salariosl) tomará valor cero cando en Hipóteses Xerais se teña indicado que Si existe subcontratación (e, polo tanto, os gastos de persoal non resultan de aplicación).
Cando Non exista subcontratación, os gastos de persoal son aplicables e esta cela reflectirá automáticamente o valor anual da partida de Soldos e Salarios.</t>
      </text>
    </comment>
    <comment ref="D18" authorId="0" shapeId="0" xr:uid="{00000000-0006-0000-0600-000003000000}">
      <text>
        <r>
          <rPr>
            <b/>
            <sz val="9"/>
            <color indexed="81"/>
            <rFont val="Tahoma"/>
            <family val="2"/>
          </rPr>
          <t>José Manuel Heredia:</t>
        </r>
        <r>
          <rPr>
            <sz val="9"/>
            <color indexed="81"/>
            <rFont val="Tahoma"/>
            <family val="2"/>
          </rPr>
          <t xml:space="preserve">
Os custos de Seguridade Social a cargo da empresa adoitan oscilar, aproximadamente, entre o 30 e o 35% da base de cotización, sendo posible identificar esta base co salario bruto.</t>
        </r>
      </text>
    </comment>
    <comment ref="E18" authorId="0" shapeId="0" xr:uid="{00000000-0006-0000-0600-000004000000}">
      <text>
        <r>
          <rPr>
            <b/>
            <sz val="9"/>
            <color indexed="81"/>
            <rFont val="Tahoma"/>
            <family val="2"/>
          </rPr>
          <t>José Manuel Heredia:</t>
        </r>
        <r>
          <rPr>
            <sz val="9"/>
            <color indexed="81"/>
            <rFont val="Tahoma"/>
            <family val="2"/>
          </rPr>
          <t xml:space="preserve">
Tomamos como base o importe do salario bruto que obtivemos, para todos os traballadores (Unidades x Valor Unit. Mensual).</t>
        </r>
      </text>
    </comment>
    <comment ref="F18" authorId="3" shapeId="0" xr:uid="{49DD58CA-9F5D-4429-A795-5D41274FEC70}">
      <text>
        <t>[Comentario encadenado]
Su versión de Excel le permite leer este comentario encadenado; sin embargo, las ediciones que se apliquen se quitarán si el archivo se abre en una versión más reciente de Excel. Más información: https://go.microsoft.com/fwlink/?linkid=870924
Comentario:
    Para permitir a opción da subcontratación das actividades de Xestión,  esta cela (Seguridade Social a Cargo da Empresa) tomará valor cero cando en Hipóteses Xerais se teña indicado que Si existe subcontratación (e, polo tanto, os gastos de persoal non resultan de aplicación).
Cando Non exista subcontratación, os gastos de persoal son aplicables e esta cela reflectirá automáticamente o valor anual da partida Seguridade Social a cargo da Empresa.</t>
      </text>
    </comment>
    <comment ref="F19" authorId="4" shapeId="0" xr:uid="{3B810885-D8A0-483D-A7C6-79FB70B5562C}">
      <text>
        <t>[Comentario encadenado]
Su versión de Excel le permite leer este comentario encadenado; sin embargo, las ediciones que se apliquen se quitarán si el archivo se abre en una versión más reciente de Excel. Más información: https://go.microsoft.com/fwlink/?linkid=870924
Comentario:
    Para permitir a opción da subcontratación das actividades de Xestión,  esta cela (Outros Gastos Sociais) tomará valor cero cando en Hipóteses Xerais se teña indicado que Si existe subcontratación (e, polo tanto, os gastos de persoal non resultan de aplicación).
Cando Non exista subcontratación, os gastos de persoal son aplicables e esta cela reflectirá automáticamente o valor anual da partida Outros Gastos Sociais.</t>
      </text>
    </comment>
    <comment ref="F20" authorId="5" shapeId="0" xr:uid="{22208B18-1B10-48C4-81CA-82227119E252}">
      <text>
        <t>[Comentario encadenado]
Su versión de Excel le permite leer este comentario encadenado; sin embargo, las ediciones que se apliquen se quitarán si el archivo se abre en una versión más reciente de Excel. Más información: https://go.microsoft.com/fwlink/?linkid=870924
Comentario:
    Para permitir a opción da subcontratación das actividades de Xestión,  esta cela (Gastos de Persoal) tomará valor cero cando en Hipóteses Xerais se teña indicado que Si existe subcontratación (e, polo tanto, os gastos de persoal non resultan de aplicación).
Cando Non exista subcontratación, os gastos de persoal son aplicables e esta cela reflectirá automáticamente o seu valor anual, que será a suma dos montantes das tres filas previas.
É importante ter presente que, cando existe subcontratación, os gastos en asesoramento externo recalcúlanse automaticamente para reflectir tal circunstancia. Cando non existe subcontratación, permanecen nun nivel máis baixo.</t>
      </text>
    </comment>
    <comment ref="D23" authorId="6" shapeId="0" xr:uid="{13607609-3C8A-4F21-86B7-EDA984B07BE0}">
      <text>
        <t>[Comentario encadenado]
Su versión de Excel le permite leer este comentario encadenado; sin embargo, las ediciones que se apliquen se quitarán si el archivo se abre en una versión más reciente de Excel. Más información: https://go.microsoft.com/fwlink/?linkid=870924
Comentario:
    Esta cela cumpliméntase automaticamente  en coherencia co que respecto da subcontratación das actividades de xestión se teña indicado en Hipóteses Xerais.</t>
      </text>
    </comment>
    <comment ref="D31" authorId="0" shapeId="0" xr:uid="{639E696C-10DC-4D5E-B87E-43F54DA7E4C7}">
      <text>
        <r>
          <rPr>
            <b/>
            <sz val="9"/>
            <color indexed="81"/>
            <rFont val="Tahoma"/>
            <family val="2"/>
          </rPr>
          <t>José Manuel Heredia:</t>
        </r>
        <r>
          <rPr>
            <sz val="9"/>
            <color indexed="81"/>
            <rFont val="Tahoma"/>
            <family val="2"/>
          </rPr>
          <t xml:space="preserve">
Tomamos aquí como Unidades os Metros cadrados de terreo necesarios para emprazar as instalacións de xeración de enerxía.</t>
        </r>
      </text>
    </comment>
    <comment ref="E31" authorId="7" shapeId="0" xr:uid="{2672A468-1962-45B5-B329-61EDC4FEF571}">
      <text>
        <t>[Comentario encadenado]
Su versión de Excel le permite leer este comentario encadenado; sin embargo, las ediciones que se apliquen se quitarán si el archivo se abre en una versión más reciente de Excel. Más información: https://go.microsoft.com/fwlink/?linkid=870924
Comentario:
    En coherencia co mencionado no comentario sobre as Unidades, o Valor Unitario quedaría aquí definido como a retribución bruta anual por metro cadrado de terreo cedido para emprazar as instalacións enerxéticas.
Establecemos un valor unitario de 1,2 que supón 12€ anuais (1€ ao mes) por cada 10 metros cadrados de terreo cedido.</t>
      </text>
    </comment>
    <comment ref="F42" authorId="0" shapeId="0" xr:uid="{00000000-0006-0000-0600-000005000000}">
      <text>
        <r>
          <rPr>
            <b/>
            <sz val="9"/>
            <color indexed="81"/>
            <rFont val="Tahoma"/>
            <family val="2"/>
          </rPr>
          <t>José Manuel Heredia:</t>
        </r>
        <r>
          <rPr>
            <sz val="9"/>
            <color indexed="81"/>
            <rFont val="Tahoma"/>
            <family val="2"/>
          </rPr>
          <t xml:space="preserve">
Pódese considerar que o custo de 240€ anuais en servicios bancarios corresponde a comisións bancarias por valor de 60€ trimestrais.</t>
        </r>
      </text>
    </comment>
    <comment ref="F49" authorId="8" shapeId="0" xr:uid="{F484AF31-2532-4E5F-98CA-4EA91F94DA67}">
      <text>
        <t>[Comentario encadenado]
Su versión de Excel le permite leer este comentario encadenado; sin embargo, las ediciones que se apliquen se quitarán si el archivo se abre en una versión más reciente de Excel. Más información: https://go.microsoft.com/fwlink/?linkid=870924
Comentario:
    O valor desta partida atópase condicionado á necesidade de contar cunha Conexión á Rede de Internet propia. Cando esta necesidade non exista, segundo o indicado ao respecto en Hipóteses Xerais, esta partida tomará valor cero.
Cando sí exista a devandita necesidade de contar cunha Conexión a Internet Propia, o valor será o que resulte de multiplicar o número de Unidades polo Prezo Unitario correspondente.</t>
      </text>
    </comment>
    <comment ref="E50" authorId="0" shapeId="0" xr:uid="{00000000-0006-0000-0600-000006000000}">
      <text>
        <r>
          <rPr>
            <b/>
            <sz val="9"/>
            <color indexed="81"/>
            <rFont val="Tahoma"/>
            <family val="2"/>
          </rPr>
          <t>José Manuel Heredia:</t>
        </r>
        <r>
          <rPr>
            <sz val="9"/>
            <color indexed="81"/>
            <rFont val="Tahoma"/>
            <family val="2"/>
          </rPr>
          <t xml:space="preserve">
No subministro de electricidade, podemos considerar, por exemplo, unha parte fixa de 0,13€ por cada kWh e día, que para unha instalación de 3,3 kW de potencia, resultaría nun importe fixo mensual de 12,87€</t>
        </r>
      </text>
    </comment>
    <comment ref="F50" authorId="9" shapeId="0" xr:uid="{43427D79-82C1-48CB-91B7-233770E90FE4}">
      <text>
        <t>[Comentario encadenado]
Su versión de Excel le permite leer este comentario encadenado; sin embargo, las ediciones que se apliquen se quitarán si el archivo se abre en una versión más reciente de Excel. Más información: https://go.microsoft.com/fwlink/?linkid=870924
Comentario:
    O valor desta partida atópase condicionado á necesidade de contar cun punto de subministro (CUPs) propio. Cando esta necesidade non exista, segundo o indicado ao respecto en Hipóteses Xerais, esta partida tomará valor cero.
Cando sí exista a devandita necesidade de solicitar un CUPs propio, o valor será o que resulte de multiplicar o número de Unidades polo Prezo Unitario correspondente.</t>
      </text>
    </comment>
    <comment ref="E51" authorId="0" shapeId="0" xr:uid="{00000000-0006-0000-0600-000007000000}">
      <text>
        <r>
          <rPr>
            <b/>
            <sz val="9"/>
            <color indexed="81"/>
            <rFont val="Tahoma"/>
            <family val="2"/>
          </rPr>
          <t>José Manuel Heredia:</t>
        </r>
        <r>
          <rPr>
            <sz val="9"/>
            <color indexed="81"/>
            <rFont val="Tahoma"/>
            <family val="2"/>
          </rPr>
          <t xml:space="preserve">
En canto ao termo de enerxía e outros conceptos, poderiamos cifralo, por exemplo, en 0,13€ por cada Kwh de consumo enerxético. Sendo isto así, cun consumo, por exemplo, de 100 KWh ao mes, resultaría un importe mensual de 13€.</t>
        </r>
      </text>
    </comment>
    <comment ref="F51" authorId="10" shapeId="0" xr:uid="{893934FE-1478-4D52-A5C0-8C763893237E}">
      <text>
        <t>[Comentario encadenado]
Su versión de Excel le permite leer este comentario encadenado; sin embargo, las ediciones que se apliquen se quitarán si el archivo se abre en una versión más reciente de Excel. Más información: https://go.microsoft.com/fwlink/?linkid=870924
Comentario:
    O valor desta partida atópase condicionado á necesidade de contar cun punto de subministro (CUPs) propio. Cando esta necesidade non exista, segundo o indicado ao respecto en Hipóteses Xerais, esta partida tomará valor cero.
Cando sí exista a devandita necesidade de solicitar un CUPs propio, o valor será o que resulte de multiplicar o número de Unidades polo Prezo Unitario correspondente.</t>
      </text>
    </comment>
    <comment ref="E54" authorId="11" shapeId="0" xr:uid="{BCEFC7B4-6BAE-4D84-AED0-CC1BDE90E831}">
      <text>
        <t>[Comentario encadenado]
Su versión de Excel le permite leer este comentario encadenado; sin embargo, las ediciones que se apliquen se quitarán si el archivo se abre en una versión más reciente de Excel. Más información: https://go.microsoft.com/fwlink/?linkid=870924
Comentario:
    Cando non existe subcontratación dos labores de xestión (Emprégase Persoal Propio), esta partida recolle, conforme á táboa situada á dereita, a suma do Asesoramento contable, fiscal e outros e mais do Monitoring dos socios da entidade.
Cando si existe subcontratación dos labores de xestión, o valor desta partida inclúe, ademais do asesoramento contable e fiscal e do Monitoring, un importe adicional correspondente á contraprestación a satisfacer á subcontratista polas labores de Xestión. 
Cando existe Auto-explotación (Todos os labores de xestión, contabilidade fiscalidade e outras tarefas administrativas son levadas a cabo de forma desinteresada e de balde por algún(s) dos socios, o valor desta partida inclúe exclusivamente o Monitoring dos Socios.
Esta estrutura de funcionamento atópase revisada conforme ao indicado na reunión con Sapiens Energia de 08-05-2024.
Esta cela cumpliméntase automaticamente dependendo do que respecto da realización das actividades de xestión se estableza en Hipóteses Xerais.</t>
      </text>
    </comment>
    <comment ref="F55" authorId="0" shapeId="0" xr:uid="{00000000-0006-0000-0600-000008000000}">
      <text>
        <r>
          <rPr>
            <b/>
            <sz val="9"/>
            <color indexed="81"/>
            <rFont val="Tahoma"/>
            <family val="2"/>
          </rPr>
          <t>José Manuel Heredia:</t>
        </r>
        <r>
          <rPr>
            <sz val="9"/>
            <color indexed="81"/>
            <rFont val="Tahoma"/>
            <family val="2"/>
          </rPr>
          <t xml:space="preserve">
En canto aos gastos xerais non incluídos noutros epígrafes, se os Gastos en Asesoramento contable son maiores ou iguais ao 5% da cifra de negocios, esta partida toma valor cero. Se estes gastos fosen menores, esta partida sería a diferencia entre o 5% da cifra de negocios e os Gastos en Asesoramento Contable. Deste Xeito, o importe de 'Gastos Xerais non incluídos noutros epígrafes' o que garante é que a partida de 'Outros Servizos' nunca será inferior ao 5% da cifra de negocios, aínda que podería ser superior se existen gastos de Asesoramento Contable suficientemente elevados.</t>
        </r>
      </text>
    </comment>
    <comment ref="F63" authorId="12" shapeId="0" xr:uid="{193C7A23-4D24-4199-9A28-7892223E95DF}">
      <text>
        <t>[Comentario encadenado]
Su versión de Excel le permite leer este comentario encadenado; sin embargo, las ediciones que se apliquen se quitarán si el archivo se abre en una versión más reciente de Excel. Más información: https://go.microsoft.com/fwlink/?linkid=870924
Comentario:
    Comprobar que pasa con CE con autoconsumo
Respuesta:
    Vincúlase o valor da 'cota íntegra', no relativo á garantía, á necesidade ou non de prestación da mesma, que se incorpora como variable na Folla de Hipóteses Xerais e toma valor Si ou Non.</t>
      </text>
    </comment>
    <comment ref="F67" authorId="0" shapeId="0" xr:uid="{00000000-0006-0000-0600-00000A000000}">
      <text>
        <r>
          <rPr>
            <b/>
            <sz val="9"/>
            <color indexed="81"/>
            <rFont val="Tahoma"/>
            <family val="2"/>
          </rPr>
          <t>José Manuel Heredia:</t>
        </r>
        <r>
          <rPr>
            <sz val="9"/>
            <color indexed="81"/>
            <rFont val="Tahoma"/>
            <family val="2"/>
          </rPr>
          <t xml:space="preserve">
</t>
        </r>
        <r>
          <rPr>
            <u/>
            <sz val="9"/>
            <color indexed="81"/>
            <rFont val="Tahoma"/>
            <family val="2"/>
          </rPr>
          <t>IMPORTANTE</t>
        </r>
        <r>
          <rPr>
            <sz val="9"/>
            <color indexed="81"/>
            <rFont val="Tahoma"/>
            <family val="2"/>
          </rPr>
          <t>: A fórmula que contén esta cela só é válida para proxectos de entre 60.000€ e 6.000.000 de Euros de Orzamento de Execución Material. Para importes inferiores a 60.000€, esta fórmula consideraría a taxa correspondente a 60.000€ (191,25€). Para valores superiores a 6.000.000 de Euros de Orzamento de Execución Material, esta fórmula non é válida.</t>
        </r>
      </text>
    </comment>
    <comment ref="C75" authorId="0" shapeId="0" xr:uid="{00000000-0006-0000-0600-00000B000000}">
      <text>
        <r>
          <rPr>
            <b/>
            <sz val="9"/>
            <color indexed="81"/>
            <rFont val="Tahoma"/>
            <family val="2"/>
          </rPr>
          <t>José Manuel Heredia:</t>
        </r>
        <r>
          <rPr>
            <sz val="9"/>
            <color indexed="81"/>
            <rFont val="Tahoma"/>
            <family val="2"/>
          </rPr>
          <t xml:space="preserve">
Referímonos aquí a perdas derivadas das operacións ordinarias da entidade. Por exemplo, a regularización das existencias de útiles e ferramentas.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José Manuel Heredia</author>
  </authors>
  <commentList>
    <comment ref="C3" authorId="0" shapeId="0" xr:uid="{00000000-0006-0000-0700-000002000000}">
      <text>
        <r>
          <rPr>
            <b/>
            <sz val="9"/>
            <color indexed="81"/>
            <rFont val="Tahoma"/>
            <family val="2"/>
          </rPr>
          <t>José Manuel Heredia:</t>
        </r>
        <r>
          <rPr>
            <sz val="9"/>
            <color indexed="81"/>
            <rFont val="Tahoma"/>
            <family val="2"/>
          </rPr>
          <t xml:space="preserve">
Tómase o valor do precio promedio no mercado diario de electricidade, correspondente ao conxunto do ano 2023, sen considerar servizos de axuste e outros conceptos adicionais, segundo os datos de REE.</t>
        </r>
      </text>
    </comment>
    <comment ref="C29" authorId="0" shapeId="0" xr:uid="{00000000-0006-0000-0700-000003000000}">
      <text>
        <r>
          <rPr>
            <b/>
            <sz val="9"/>
            <color indexed="81"/>
            <rFont val="Tahoma"/>
            <family val="2"/>
          </rPr>
          <t>José Manuel Heredia:</t>
        </r>
        <r>
          <rPr>
            <sz val="9"/>
            <color indexed="81"/>
            <rFont val="Tahoma"/>
            <family val="2"/>
          </rPr>
          <t xml:space="preserve">
Proporción que representaría o "Valor da Enerxía Valorable Económicamente" sobre o "Valor Total da Enerxía Producida", expresada en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José Manuel Heredia</author>
    <author>tc={C6768D03-ED5A-480D-A254-CFB87DCA87DE}</author>
  </authors>
  <commentList>
    <comment ref="B28" authorId="0" shapeId="0" xr:uid="{00000000-0006-0000-0800-000001000000}">
      <text>
        <r>
          <rPr>
            <b/>
            <sz val="9"/>
            <color indexed="81"/>
            <rFont val="Tahoma"/>
            <family val="2"/>
          </rPr>
          <t>José Manuel Heredia:</t>
        </r>
        <r>
          <rPr>
            <sz val="9"/>
            <color indexed="81"/>
            <rFont val="Tahoma"/>
            <family val="2"/>
          </rPr>
          <t xml:space="preserve">
No noso suposto, dase a peculiar circunstancia de que, no conxunto dos anos, o Fluxo de caixa das Actividades de Financiamento é Positivo. Isto sucede, esencialmente, debido ao papel da subvención pública non reintegrable, de 45.000€ que se asume cobrada no primeiro ano e que non é preciso devolver.
Ademais, o capital se recibe dos socios e, nun principio, non se reintegra a estes nin se remunera, xa que non contemplamos especificamente aquí ningunha posible redución de capital con devolución de aportacións, nin tampouco a distribución de ningún dividendo como retribución dos fondos propios aportados.</t>
        </r>
      </text>
    </comment>
    <comment ref="B30" authorId="0" shapeId="0" xr:uid="{00000000-0006-0000-0800-000002000000}">
      <text>
        <r>
          <rPr>
            <b/>
            <sz val="9"/>
            <color indexed="81"/>
            <rFont val="Tahoma"/>
            <family val="2"/>
          </rPr>
          <t>José Manuel Heredia:</t>
        </r>
        <r>
          <rPr>
            <sz val="9"/>
            <color indexed="81"/>
            <rFont val="Tahoma"/>
            <family val="2"/>
          </rPr>
          <t xml:space="preserve">
En liña co sinalado en relación ao Fluxo de Caixa dos Accionistas, o feito de que este resulte positivo en termos globais provoca a atípica circunstancia de que, no conxunto dos anos considerados, o fluxo de caixa dispoñible para remunerar aos accionistas sexa efectivamente superior có Fluxo de Caixa xerado polo propio Proxecto. </t>
        </r>
      </text>
    </comment>
    <comment ref="B32" authorId="0" shapeId="0" xr:uid="{00000000-0006-0000-0800-000003000000}">
      <text>
        <r>
          <rPr>
            <b/>
            <sz val="9"/>
            <color indexed="81"/>
            <rFont val="Tahoma"/>
            <family val="2"/>
          </rPr>
          <t>José Manuel Heredia:</t>
        </r>
        <r>
          <rPr>
            <sz val="9"/>
            <color indexed="81"/>
            <rFont val="Tahoma"/>
            <family val="2"/>
          </rPr>
          <t xml:space="preserve">
Trátase dun Cash Flow Teórico ou Potencial que toma no primeiro ano valor negativo por importe igual ao capital aportado polos socios e, no resto dos anos, toma o valor do Cash Flow Dispoñible para -eventualmente- retribuír aos accionistas.</t>
        </r>
      </text>
    </comment>
    <comment ref="E40" authorId="1" shapeId="0" xr:uid="{C6768D03-ED5A-480D-A254-CFB87DCA87DE}">
      <text>
        <t>[Comentario encadenado]
Su versión de Excel le permite leer este comentario encadenado; sin embargo, las ediciones que se apliquen se quitarán si el archivo se abre en una versión más reciente de Excel. Más información: https://go.microsoft.com/fwlink/?linkid=870924
Comentario:
    Esta elección só ten impacto para o cálculo do Estado de Fluxos de Efectivo (Fluxo de Caixa, Folla Actual do Libro Excel).
O impacto é o seguinte: Se seleccionamos Si, incluimos o valor da enerxía producida como ingreso que si xera un fluxo (pseudo-monetario). Se así o facemos, non se corrixe o resultado de explotación para excluír do mesmo o valor da enerxía xerada. Agora ben, para reflectir que este valor non fica na entidade senón que é transmitido aos seus socios, ao seleccionar 'Si' engádese un dividendo polo mesmo valor da enerxía xerada que se considerou ingreso.
No caso oposto, se seleccionamos nesta cela Inclusión do Valor da Enerxía Producida = Non, corríxese o resultado de explotación para excluír directamente do mesmo o valor da enerxía (Primeira ringleira baixo a de resultado de explotación). En contrapartida, ademáis, o dividendo a favor dos accionistas toma valor cero.</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24" authorId="0" shapeId="0" xr:uid="{00000000-0006-0000-0500-000001000000}">
      <text>
        <r>
          <rPr>
            <b/>
            <sz val="9"/>
            <color indexed="81"/>
            <rFont val="Tahoma"/>
            <family val="2"/>
          </rPr>
          <t>Autor:</t>
        </r>
        <r>
          <rPr>
            <sz val="9"/>
            <color indexed="81"/>
            <rFont val="Tahoma"/>
            <family val="2"/>
          </rPr>
          <t xml:space="preserve">
O Valor calcúlase sobre unha base de enerxía (KWh.) que resulta de aplicar sobre a enerxía compensada a proporción da enerxía compensada que, efectivamente, é obxecto de retribución por parte da comercializadora.</t>
        </r>
      </text>
    </comment>
    <comment ref="A25" authorId="0" shapeId="0" xr:uid="{00000000-0006-0000-0500-000002000000}">
      <text>
        <r>
          <rPr>
            <b/>
            <sz val="9"/>
            <color indexed="81"/>
            <rFont val="Tahoma"/>
            <family val="2"/>
          </rPr>
          <t>Autor:</t>
        </r>
        <r>
          <rPr>
            <sz val="9"/>
            <color indexed="81"/>
            <rFont val="Tahoma"/>
            <family val="2"/>
          </rPr>
          <t xml:space="preserve">
No caso da enerxía vendida, pola contra, o 100% da enerxía vendida é retribuída pola comercializadora.</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5" authorId="0" shapeId="0" xr:uid="{00000000-0006-0000-0200-000001000000}">
      <text>
        <r>
          <rPr>
            <b/>
            <sz val="9"/>
            <color indexed="81"/>
            <rFont val="Tahoma"/>
            <family val="2"/>
          </rPr>
          <t>Autor:</t>
        </r>
        <r>
          <rPr>
            <sz val="9"/>
            <color indexed="81"/>
            <rFont val="Tahoma"/>
            <family val="2"/>
          </rPr>
          <t xml:space="preserve">
Obtemos este valor por diferenzas co resto dos conceptos implicados no subtotal correspondente, os cales non dependen do consumo. Este valor permite obter a enerxía efectivamente mercada á comercializadora por cada socio, dividíndoo entre o prezo ao que a comercializadora vende a enerxía ao socio.</t>
        </r>
      </text>
    </comment>
    <comment ref="A17" authorId="0" shapeId="0" xr:uid="{00000000-0006-0000-0200-000002000000}">
      <text>
        <r>
          <rPr>
            <b/>
            <sz val="9"/>
            <color indexed="81"/>
            <rFont val="Tahoma"/>
            <family val="2"/>
          </rPr>
          <t>Autor:</t>
        </r>
        <r>
          <rPr>
            <sz val="9"/>
            <color indexed="81"/>
            <rFont val="Tahoma"/>
            <family val="2"/>
          </rPr>
          <t xml:space="preserve">
Cando xa coñecemos o nivel de aforro que é preciso obter en factura para cada socio, calculamos o importe que debe ter a nova factura, restando o aforro a obter da contía da factura inicial. A partir deste novo importe de factura, imos progresando, cara arriba, para obter as distintas partidas da factura que debe corresponder ao socio e chegar ao valor da enerxía que, de ser o caso, deba mercar á comercializadora.</t>
        </r>
      </text>
    </comment>
    <comment ref="A19" authorId="0" shapeId="0" xr:uid="{00000000-0006-0000-0200-000003000000}">
      <text>
        <r>
          <rPr>
            <b/>
            <sz val="9"/>
            <color indexed="81"/>
            <rFont val="Tahoma"/>
            <family val="2"/>
          </rPr>
          <t>Autor:</t>
        </r>
        <r>
          <rPr>
            <sz val="9"/>
            <color indexed="81"/>
            <rFont val="Tahoma"/>
            <family val="2"/>
          </rPr>
          <t xml:space="preserve">
Se o aforro total que é preciso acadar para cada un dos socios é superior ao máximo nivel de aforro que pode acadarse na súa factura, entón aplícase ese máximo nivel de aforro acadable. Noutro caso, aplícase o aforro preciso, de xeito que se realiza en factura a totalidade do aforro necesario.</t>
        </r>
      </text>
    </comment>
    <comment ref="A20" authorId="0" shapeId="0" xr:uid="{00000000-0006-0000-0200-000004000000}">
      <text>
        <r>
          <rPr>
            <b/>
            <sz val="9"/>
            <color indexed="81"/>
            <rFont val="Tahoma"/>
            <family val="2"/>
          </rPr>
          <t>Autor:</t>
        </r>
        <r>
          <rPr>
            <sz val="9"/>
            <color indexed="81"/>
            <rFont val="Tahoma"/>
            <family val="2"/>
          </rPr>
          <t xml:space="preserve">
Este valor (Aforro Preciso), tómase directamente da Pestana de 'Ingresos Socios'. Coñecendo este valor, así como o valor máximo do aforro que pode acadarse en factura, pode estimarse que aforro é preciso obter vía compensación ou venda da enerxía, para cada socio, a fin de que o seu resultado neto poida ser finalmente dun aforro do 50% do importe da súa factura inicial.</t>
        </r>
      </text>
    </comment>
    <comment ref="A21" authorId="0" shapeId="0" xr:uid="{00000000-0006-0000-0200-000005000000}">
      <text>
        <r>
          <rPr>
            <b/>
            <sz val="9"/>
            <color indexed="81"/>
            <rFont val="Tahoma"/>
            <family val="2"/>
          </rPr>
          <t>Autor:</t>
        </r>
        <r>
          <rPr>
            <sz val="9"/>
            <color indexed="81"/>
            <rFont val="Tahoma"/>
            <family val="2"/>
          </rPr>
          <t xml:space="preserve">
Este aforro que é preciso realizar pola compensación ou venda da enerxía será, para cada socio, a diferenza entre o aforro preciso total e o que se realiza efectivamente en factura.</t>
        </r>
      </text>
    </comment>
    <comment ref="A27" authorId="0" shapeId="0" xr:uid="{00000000-0006-0000-0200-000006000000}">
      <text>
        <r>
          <rPr>
            <b/>
            <sz val="9"/>
            <color indexed="81"/>
            <rFont val="Tahoma"/>
            <family val="2"/>
          </rPr>
          <t>Autor:</t>
        </r>
        <r>
          <rPr>
            <sz val="9"/>
            <color indexed="81"/>
            <rFont val="Tahoma"/>
            <family val="2"/>
          </rPr>
          <t xml:space="preserve">
Este concepto só toma valor distinto de cero cando existe enerxía que se destina a compensación. En tal caso, o seu valor coincidirá co aforro que é preciso obter en compensación/venda.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José Manuel Heredia</author>
  </authors>
  <commentList>
    <comment ref="C17" authorId="0" shapeId="0" xr:uid="{72536C20-128E-4D49-B14A-59BE97A14AF2}">
      <text>
        <r>
          <rPr>
            <b/>
            <sz val="9"/>
            <color indexed="81"/>
            <rFont val="Tahoma"/>
            <family val="2"/>
          </rPr>
          <t>José Manuel Heredia:</t>
        </r>
        <r>
          <rPr>
            <sz val="9"/>
            <color indexed="81"/>
            <rFont val="Tahoma"/>
            <family val="2"/>
          </rPr>
          <t xml:space="preserve">
Compras de materiais precisos no proceso produtivo (produción da enerxía, no noso caso), distintos de materias primas ou mercadorías (que non existirían como tales no noso caso).</t>
        </r>
      </text>
    </comment>
    <comment ref="C18" authorId="0" shapeId="0" xr:uid="{66038C88-0A50-4241-A3C3-828A1BD328B5}">
      <text>
        <r>
          <rPr>
            <b/>
            <sz val="9"/>
            <color indexed="81"/>
            <rFont val="Tahoma"/>
            <family val="2"/>
          </rPr>
          <t>José Manuel Heredia:</t>
        </r>
        <r>
          <rPr>
            <sz val="9"/>
            <color indexed="81"/>
            <rFont val="Tahoma"/>
            <family val="2"/>
          </rPr>
          <t xml:space="preserve">
Traballos encargados a empresas externas, cando formen parte do proceso produtivo propio da empresa (no noso caso, a produción de enerxía).</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<sst xmlns="http://schemas.openxmlformats.org/spreadsheetml/2006/main" count="3381" uniqueCount="1695">
  <si>
    <t>Galego</t>
  </si>
  <si>
    <t>Galicia</t>
  </si>
  <si>
    <t>Rest of Spain</t>
  </si>
  <si>
    <t>Pontevedra</t>
  </si>
  <si>
    <t>******</t>
  </si>
  <si>
    <t>No</t>
  </si>
  <si>
    <t>Fixed</t>
  </si>
  <si>
    <t>Yes</t>
  </si>
  <si>
    <t>Sale</t>
  </si>
  <si>
    <t>Manual</t>
  </si>
  <si>
    <t>Cadena</t>
  </si>
  <si>
    <t>Self-Management</t>
  </si>
  <si>
    <t>Non</t>
  </si>
  <si>
    <t>Taxa Autonómica por Verificación de capacidades e requisitos técnicos (32.37.01 Anexo 3)</t>
  </si>
  <si>
    <t>Taxa Autonómica por Inscrición no Rexistro Administrativo das Instalacións de Produción de Electricidade (32.37.04 Anexo 3)</t>
  </si>
  <si>
    <t>Taxa Autonómica por Autorización Administrativa de Outras Instalacións de Produción Eléctrica (32.37.06 Anexo 3)</t>
  </si>
  <si>
    <t>VAT (Reduced Electricity Tax Rate)</t>
  </si>
  <si>
    <t>Valor Cela 'IVE'</t>
  </si>
  <si>
    <t>H</t>
  </si>
  <si>
    <t>R</t>
  </si>
  <si>
    <t>S</t>
  </si>
  <si>
    <t>Eestlane</t>
  </si>
  <si>
    <t>English</t>
  </si>
  <si>
    <t>Español</t>
  </si>
  <si>
    <t>Hipóteses Xerais</t>
  </si>
  <si>
    <t>Üldised Hüpoteesid</t>
  </si>
  <si>
    <t>General Hypotheses</t>
  </si>
  <si>
    <t>Hipótesis Generales</t>
  </si>
  <si>
    <t>Lingua</t>
  </si>
  <si>
    <t>Keel</t>
  </si>
  <si>
    <t>Language</t>
  </si>
  <si>
    <t>Idioma</t>
  </si>
  <si>
    <t>Emprazamento das Instalacións (Xeral)</t>
  </si>
  <si>
    <t>Rajatiste Asukoht (Galicia)</t>
  </si>
  <si>
    <t>Facilities Location (General)</t>
  </si>
  <si>
    <t>Emplazamiento de las Instalaciones (General)</t>
  </si>
  <si>
    <t>Área Xeográfica</t>
  </si>
  <si>
    <t>Geograafiline Piirkond</t>
  </si>
  <si>
    <t>Geographic Area</t>
  </si>
  <si>
    <t>Área Geográfica</t>
  </si>
  <si>
    <t>Resto de España</t>
  </si>
  <si>
    <t>Ülejäänud Hispaania</t>
  </si>
  <si>
    <t>Estranxeiro</t>
  </si>
  <si>
    <t>Teised Riigid</t>
  </si>
  <si>
    <t>Other Countries</t>
  </si>
  <si>
    <t>Extranjero</t>
  </si>
  <si>
    <t>Provincia ou Rexión</t>
  </si>
  <si>
    <t>Provints või Piirkond</t>
  </si>
  <si>
    <t>Province or Region</t>
  </si>
  <si>
    <t>Provincia o Región</t>
  </si>
  <si>
    <t>Provincia</t>
  </si>
  <si>
    <t>Provints</t>
  </si>
  <si>
    <t>Province</t>
  </si>
  <si>
    <t>Concello ou Termo Municipal</t>
  </si>
  <si>
    <t>Linn või Küla</t>
  </si>
  <si>
    <t>City or Village</t>
  </si>
  <si>
    <t>Ayuntamiento o Término Municipal</t>
  </si>
  <si>
    <t>Emprazamento das Instalacións (Galicia)</t>
  </si>
  <si>
    <t>Facilities Location (Galicia)</t>
  </si>
  <si>
    <t>Emplazamiento de las Instalaciones (Galicia)</t>
  </si>
  <si>
    <t>CC.AA.</t>
  </si>
  <si>
    <t>Piirkond</t>
  </si>
  <si>
    <t>Region</t>
  </si>
  <si>
    <t>Concello</t>
  </si>
  <si>
    <t>Raekoda</t>
  </si>
  <si>
    <t>Ayntamiento</t>
  </si>
  <si>
    <t>Parroquia</t>
  </si>
  <si>
    <t>Linna- Või Külapiirkond</t>
  </si>
  <si>
    <t>City or Village District</t>
  </si>
  <si>
    <t>A Coruña</t>
  </si>
  <si>
    <t>Lugo</t>
  </si>
  <si>
    <t>Ourense</t>
  </si>
  <si>
    <t>Dispoñibilidade de Terreos para Emprazar as Instalacións</t>
  </si>
  <si>
    <t xml:space="preserve">Maa Kättesaadavus Rajatiste Asukoha Jaoks </t>
  </si>
  <si>
    <t>Land Availability for Facilities Location</t>
  </si>
  <si>
    <t>Disponibilidad de Terrenos para Emplazar las Instalaciones</t>
  </si>
  <si>
    <t>Superficie de Terreo Dispoñible (m2)</t>
  </si>
  <si>
    <t>Kasutatav MaaAala (m2)</t>
  </si>
  <si>
    <t>Land Surface Available (m2)</t>
  </si>
  <si>
    <t>Superficie de Terreno Disponible (m2)</t>
  </si>
  <si>
    <t>Superficie Precisa para Corredores (m2)</t>
  </si>
  <si>
    <t>Hoolduskoridoride Jaoks Vajalik Maa-Ala (m2)</t>
  </si>
  <si>
    <t>Land Surface Necessary for Maintenance Corridors (m2)</t>
  </si>
  <si>
    <t>Superficie Necesaria para Pasillos de Mantenimiento (m2)</t>
  </si>
  <si>
    <t>Prazo da Instalación (Anos)</t>
  </si>
  <si>
    <t>Projekti Ajahorisont (Aastad)</t>
  </si>
  <si>
    <t>Project Time Horizon (Years)</t>
  </si>
  <si>
    <t>Plazo de la Instalación (Años)</t>
  </si>
  <si>
    <t>IVE - Venda de Mercaderías, Gastos e Investimentos (%)</t>
  </si>
  <si>
    <t>Käibemaks – Kaupade Müük, Kulud ja Investeeringud (%)</t>
  </si>
  <si>
    <t>VAT - Merchandise Sales, Expenses and Investments</t>
  </si>
  <si>
    <t>IVA - Venta de Mercaderías, Gastos e Inversiones (%)</t>
  </si>
  <si>
    <t>IVE - Período de Liquidación (Meses)</t>
  </si>
  <si>
    <t>Käibemaks – Arveldusperiood (Kuud)</t>
  </si>
  <si>
    <t>VAT - Settlement Period (Months)</t>
  </si>
  <si>
    <t>IVA - Periodo de Liquidación (Meses)</t>
  </si>
  <si>
    <t>Tipo Impositivo IS (%)</t>
  </si>
  <si>
    <t>Ettevõtte Tulumaksumäär (%)</t>
  </si>
  <si>
    <t>Corporate Income Tax Rate (%)</t>
  </si>
  <si>
    <t>Necesidade de Prestación de Garantía á Administración (Si / Non)</t>
  </si>
  <si>
    <t>Vajadus Anda Avaliku Halduse/võimu Jaoks Majanduslikke Tagatisi (Jah/Ei)</t>
  </si>
  <si>
    <t>Need for Providing Economic Guarantees to the Public Administration (Yes / No)</t>
  </si>
  <si>
    <t>Necesidad de Prestación de Garantía a la Administración (Sí / No)</t>
  </si>
  <si>
    <t>Si</t>
  </si>
  <si>
    <t>Jah</t>
  </si>
  <si>
    <t>Sí</t>
  </si>
  <si>
    <t>Ei</t>
  </si>
  <si>
    <t>Remuneración Caixa (%)</t>
  </si>
  <si>
    <t>Sularahas makstav tasu (%)</t>
  </si>
  <si>
    <t>Cash Remuneration (%)</t>
  </si>
  <si>
    <t>Remuneración Caja (%)</t>
  </si>
  <si>
    <t>Financiamento do Proxecto</t>
  </si>
  <si>
    <t>Projekti Rahastamine</t>
  </si>
  <si>
    <t>Project Financing</t>
  </si>
  <si>
    <t>Financiación del Proyecto</t>
  </si>
  <si>
    <t>% Financiamento Alleo do investimento (Débeda)</t>
  </si>
  <si>
    <t>% Investeeringud Kolmandate Isikute Rahastamine (Laen)</t>
  </si>
  <si>
    <t>% Investment Third-Party Financing (Debt)</t>
  </si>
  <si>
    <t>% Financiación Ajena de la Inversión (Deuda)</t>
  </si>
  <si>
    <t>Prazo (Anos)</t>
  </si>
  <si>
    <t>Laenutähtaeg (Aastad)</t>
  </si>
  <si>
    <t>Loan Term (Years)</t>
  </si>
  <si>
    <t>Plazo (Años)</t>
  </si>
  <si>
    <t>Período de Carencia de Capital (Anos)</t>
  </si>
  <si>
    <t>Kapitali Tagasimaksmise Vajaduse Puudumine Ajavahemik (Aastad)</t>
  </si>
  <si>
    <t>Lack of Need for Capital Reimbursement Period (Years)</t>
  </si>
  <si>
    <t>Periodo de Carencia de Capital (Años)</t>
  </si>
  <si>
    <t>Periodo de Carencia de Xuros (Anos)</t>
  </si>
  <si>
    <t>Intressivaba Periood (Aastad)</t>
  </si>
  <si>
    <t>Lack of Need for Interest Payment Period (Years)</t>
  </si>
  <si>
    <t>Periodo de Carencia de Intereses (Años)</t>
  </si>
  <si>
    <t>Número de Meses a Considerar no Primeiro Ano</t>
  </si>
  <si>
    <t>Esimese Aasta Kuude Arv</t>
  </si>
  <si>
    <t>Number of Months for the First Year</t>
  </si>
  <si>
    <t>Número de Meses a Considerar en el Primer Año</t>
  </si>
  <si>
    <t>Euribor (%)</t>
  </si>
  <si>
    <t>Euribor (Euroopa Pankadevaheline Intressimäär) (%)</t>
  </si>
  <si>
    <t>Euribor (European Reference Interbancarian Interest Rate) (%)</t>
  </si>
  <si>
    <t>Marxe sobre Euribor (%)</t>
  </si>
  <si>
    <t>Marginaal üle Euribori (%)</t>
  </si>
  <si>
    <t>Margin Over Euribor (%)</t>
  </si>
  <si>
    <t>Margen sobre Euribor (%)</t>
  </si>
  <si>
    <t>Comisión de Apertura (%)</t>
  </si>
  <si>
    <t>Laenu Avamise Tasu (%)</t>
  </si>
  <si>
    <t>Loan Opening Fee (%)</t>
  </si>
  <si>
    <t>Desglose do Investimento: Instalacións e Gastos de Constitución</t>
  </si>
  <si>
    <t>Investeeringu Üksikasjad: Rajatised ja Asutamiskulud</t>
  </si>
  <si>
    <t>Investment Details: Facilities and Establishment Expenses</t>
  </si>
  <si>
    <t>Desglose de la Inversión: Instalaciones y Gastos de Constitución</t>
  </si>
  <si>
    <t>Ratio de Investimento s/ Potencia Instalada (€/kW)</t>
  </si>
  <si>
    <t>Investeeringute Määr Installeeritud Võimsuse Suhtes (€/kW)</t>
  </si>
  <si>
    <t>Investment Rate over Installed Power (€/kW)</t>
  </si>
  <si>
    <t>Ratio de Inversión s/ Potencia Instalada (€/kW)</t>
  </si>
  <si>
    <t>Necesidade de Novo CUPS, Propio (Si/Non)</t>
  </si>
  <si>
    <t>Vajadus uue USPC (Unified Supply Point Code) Järele, (jah/ei)</t>
  </si>
  <si>
    <t>Need for a New USPC (Unified Supply Point Code), Own one (Yes/No)</t>
  </si>
  <si>
    <t>Necesidad de Nuevo CUPS, Propio (Sí/No)</t>
  </si>
  <si>
    <t>Custo de Investimento Vinculado á Obtención do Novo CUPS (€)</t>
  </si>
  <si>
    <t>Uue USPC Hankimise Investeerimiskulud (€)</t>
  </si>
  <si>
    <t>Investment Cost of Getting a New USPC (€)</t>
  </si>
  <si>
    <t>Coste de Inversión Vinculado a la Obtención del Nuevo CUPS (€)</t>
  </si>
  <si>
    <t>Gastos de Constitución (Importe Fixo ou Proporcional ao Investimento)</t>
  </si>
  <si>
    <t>Põhiseadusega Seotud Kulud (Fikseeritud Summa või Proportsionaalne Investeeringuga)</t>
  </si>
  <si>
    <t>Establishment Costs (Fixed Amount or a Proportion Over Investment)</t>
  </si>
  <si>
    <t>Gastos de Constitución (Importe Fijo o Proporcional a la Inversión)</t>
  </si>
  <si>
    <t>Fixo</t>
  </si>
  <si>
    <t>Fikseeritud</t>
  </si>
  <si>
    <t>Fijo</t>
  </si>
  <si>
    <t>Proporcional</t>
  </si>
  <si>
    <t>Proportsionaalne</t>
  </si>
  <si>
    <t>Proportional</t>
  </si>
  <si>
    <t>Gastos de Constitución (Importe Proporcional, % s/Investimento Inicial, se Aplicable)</t>
  </si>
  <si>
    <t>Asutamiskulud (Proportsionaalne Summa, % Algsest Investeeringust, Kui see on Kohaldatav)</t>
  </si>
  <si>
    <t>Establishment Costs (Proportional Amount, % over Initial Investment, if Applicable)</t>
  </si>
  <si>
    <t>Gastos de Constitución (Importe Proporcional, % s/Inversión Inicial, si Aplicable)</t>
  </si>
  <si>
    <t>Gastos de Constitución (Importe Fixo, se Aplicable) (€)</t>
  </si>
  <si>
    <t>Asutamiskulud (Vajaduse Korral Fikseeritud Summa) (€)</t>
  </si>
  <si>
    <t>Establishment Costs (Fixed Amount, if Applicable) (€)</t>
  </si>
  <si>
    <t>Gastos de Constitución (Importe Fijo, si Aplicable) (€)</t>
  </si>
  <si>
    <t>GASTOS: Compras de Materiais e Servizos</t>
  </si>
  <si>
    <t>EXPENSES: Human Resources Expenses</t>
  </si>
  <si>
    <t>GASTOS: Compras de Materiales y Servicios</t>
  </si>
  <si>
    <t>Auto-explotación</t>
  </si>
  <si>
    <t>Enesejuhtimine</t>
  </si>
  <si>
    <t>Persoal Propio</t>
  </si>
  <si>
    <t>Oma Isiklik</t>
  </si>
  <si>
    <t>Own Staff</t>
  </si>
  <si>
    <t>Personal Propio</t>
  </si>
  <si>
    <t>Subcontratación</t>
  </si>
  <si>
    <t>Allhange</t>
  </si>
  <si>
    <t>Outsourcing</t>
  </si>
  <si>
    <t>Compras de Materiais e Servizos (Si/Non)</t>
  </si>
  <si>
    <t xml:space="preserve">Materials and Services Purchases (Yes/No) </t>
  </si>
  <si>
    <t xml:space="preserve">Compras de Materiales y Servicios (Sí/No) </t>
  </si>
  <si>
    <t>Realización das Labores de Xestión</t>
  </si>
  <si>
    <t>Management Tasks Performance Alternative</t>
  </si>
  <si>
    <t xml:space="preserve">Realización de las Labores de Gestión </t>
  </si>
  <si>
    <t>Unidades</t>
  </si>
  <si>
    <t>Units</t>
  </si>
  <si>
    <t>Valor Unitario</t>
  </si>
  <si>
    <t>Desglose do Investimento: Datos Relativos ao Inversor</t>
  </si>
  <si>
    <t>Investeeringu Üksikasjad: Elektriinverteriga Seotud Andmed</t>
  </si>
  <si>
    <t>Investment Details: Data Related to the Power Inverter</t>
  </si>
  <si>
    <t>Desglose de la Inversión: Datos Relativos al Inversor</t>
  </si>
  <si>
    <t>Investimento Inversor (% s/ Invest. Inicial en Instalacións)</t>
  </si>
  <si>
    <t>Investeeringud Inverterisse (% Üle Algse Investeeringu Rajatiste Kohta)</t>
  </si>
  <si>
    <t>Power Inverter Investment (% Over Initial Investment on Facilities)</t>
  </si>
  <si>
    <t>Inversión en el Inversor (% s/ Inversión Inicial en Instalaciones)</t>
  </si>
  <si>
    <t>Prazo Invest. Inversor (Vida Útil Estimada)</t>
  </si>
  <si>
    <t>Inverteri Investeerimisaeg (Hinnanguline Kasutusaeg, Aastat)</t>
  </si>
  <si>
    <t>Power Inverter Investment Time Period (Estimated on-use Lifetime, Years)</t>
  </si>
  <si>
    <t>Plazo de la Inversión en el Inversor (Vida Útil Estimada) (Años)</t>
  </si>
  <si>
    <t>Compras de Outros Aprovisionamentos</t>
  </si>
  <si>
    <t>Other Supplies Purchases</t>
  </si>
  <si>
    <t>Compras de Otros Aprovisionamientos</t>
  </si>
  <si>
    <t>Compras de Elementos e Conxuntos Incorporables</t>
  </si>
  <si>
    <t>Purchases of Incorporable Elements and Sets</t>
  </si>
  <si>
    <t>Compras de Elementos y Conjuntos Incorporables</t>
  </si>
  <si>
    <t>Subvención Pública</t>
  </si>
  <si>
    <t>Avalik Rahastamine</t>
  </si>
  <si>
    <t>Public Funding</t>
  </si>
  <si>
    <t>Subvención Pública (Si / Non)</t>
  </si>
  <si>
    <t>Avalik Rahastamine (Jah/Ei)</t>
  </si>
  <si>
    <t>Public Grant or Economic Support (Yes / No)</t>
  </si>
  <si>
    <t>Subvención Pública (Sí / No)</t>
  </si>
  <si>
    <t>Ratio de Subvención (Subv. -%- s/  -Invest. Inicial en Instalac.)</t>
  </si>
  <si>
    <t>Avaliku Rahastamise Määr (Toetuse % Algse Investeeringu/Rajatiste Kohta)</t>
  </si>
  <si>
    <t>Public Funding Rate (Grant -%- Over Initial Investment on Facilities)</t>
  </si>
  <si>
    <t>Ratio de Subvención (Subvención -%- s/  Inversión Inicial en Instalaciones)</t>
  </si>
  <si>
    <t>Composición da Base de Socios</t>
  </si>
  <si>
    <t>Partnerite Koosseis</t>
  </si>
  <si>
    <t>Partnership Composition</t>
  </si>
  <si>
    <t>Composición de la Base de Socios</t>
  </si>
  <si>
    <t>% S/Total de Socios</t>
  </si>
  <si>
    <t>% Partnerite Koguarvust</t>
  </si>
  <si>
    <t>% Over Total Partners</t>
  </si>
  <si>
    <t>Proporción de Socios Segmento Residencial</t>
  </si>
  <si>
    <t>Residentide Segmendi Partnerite Osakaal (%)</t>
  </si>
  <si>
    <t>Residencial Segment Partners Proportion</t>
  </si>
  <si>
    <t>Cotas de Socios e Outros Ingresos Mensuais</t>
  </si>
  <si>
    <t>Liikmemaksud ja Muud Igakuised Sissetulekud</t>
  </si>
  <si>
    <t>Membership Fees and Other Monthly Incomes</t>
  </si>
  <si>
    <t>Cuotas de Socios y Otros Ingresos Mensuales</t>
  </si>
  <si>
    <t>Cota Extraord. Primeiro Ano (€/Mes)</t>
  </si>
  <si>
    <t>Erakorraline Tasu esimese Aasta Eest (€/kuu)</t>
  </si>
  <si>
    <t>Extraord. Fee for the First Year (€/Month)</t>
  </si>
  <si>
    <t>Cuota Extraordinaria Primer Año (€/Mes)</t>
  </si>
  <si>
    <t>Outros Ingresos Mensuais (€/Mes)</t>
  </si>
  <si>
    <t>Muu Igakuine Sissetulekud (€/Kuus)</t>
  </si>
  <si>
    <t>Other Monthly Incomes (€/Month)</t>
  </si>
  <si>
    <t>Otros Ingresos Mensuales (€/Mes)</t>
  </si>
  <si>
    <t>Impacto Fiscal Trasladado a Cotas de Socios (Si/Non)</t>
  </si>
  <si>
    <t>Ettevõtte Maksustamise Mõju, Mis Kantakse üle Liikmemaksudesse (Jah/Ei)</t>
  </si>
  <si>
    <t>Corporate-Tax Impact transferred to the Membership Fees (Yes/No)</t>
  </si>
  <si>
    <t>Impacto Fiscal Trasladado a Cuotas de Socios (Sí/No)</t>
  </si>
  <si>
    <t>Compras de Combustibles</t>
  </si>
  <si>
    <t>Energy Supplies (Fuels) Purchases</t>
  </si>
  <si>
    <t>Compras de Repostos</t>
  </si>
  <si>
    <t>Replacement Materials Purchases</t>
  </si>
  <si>
    <t>Compras de Repuestos</t>
  </si>
  <si>
    <t>Compras de Materiais Diversos</t>
  </si>
  <si>
    <t>Erinevate Materjalide Ostmine</t>
  </si>
  <si>
    <t>Various Materials Purchases</t>
  </si>
  <si>
    <t>Compras de Materiales Diversos</t>
  </si>
  <si>
    <t>Compras de Material de Oficina</t>
  </si>
  <si>
    <t>Office Supplies Purchases</t>
  </si>
  <si>
    <t>Traballos realizados por Outras Empresas</t>
  </si>
  <si>
    <t>Works Done by Other Companies</t>
  </si>
  <si>
    <t>Trabajos realizados por Otras Empresas</t>
  </si>
  <si>
    <t>Hipóteses Relativas á Enerxía</t>
  </si>
  <si>
    <t>Energiaga seotud hüpoteesid</t>
  </si>
  <si>
    <t>Energy-Related Hypotheses</t>
  </si>
  <si>
    <t>Hipótesis Relativas a la Energía</t>
  </si>
  <si>
    <t>Prezo de Referencia de Mercado da Electricidade (€/MWh)</t>
  </si>
  <si>
    <t>Elektrienergia Turuhind (€/MWh)</t>
  </si>
  <si>
    <t>Reference Market Price of the Electricity (€/MWh)</t>
  </si>
  <si>
    <t>Precio de Referencia de Mercado de la Electricidad (€/MWh)</t>
  </si>
  <si>
    <t>GASTOS: Gastos de Persoal</t>
  </si>
  <si>
    <t>KULUD: Personalikulud</t>
  </si>
  <si>
    <t>GASTOS: Gastos de Personal</t>
  </si>
  <si>
    <t>Número de Empregados a Xornada Completa Equivalentes</t>
  </si>
  <si>
    <t>Number of Full-Time Equivalent Employees</t>
  </si>
  <si>
    <t>Número de Empleados a Jornada Completa Equivalentes</t>
  </si>
  <si>
    <t>Seguridade Social a cargo da Empresa</t>
  </si>
  <si>
    <t>Social Security Costs to be Assumed by the Entity (% over Gross Wages)</t>
  </si>
  <si>
    <t>Seguridad Social a cargo de la Empresa</t>
  </si>
  <si>
    <t>Outros gastos sociais</t>
  </si>
  <si>
    <t>Other Social Expenses (Other Personnel Costs)</t>
  </si>
  <si>
    <t>Otros Gastos Sociales</t>
  </si>
  <si>
    <t>Prezo Autoconsumo (% sobre Prezo Medio)</t>
  </si>
  <si>
    <t>Isetarbimishind (% Võrreldes Turuvõrdlushinnaga)</t>
  </si>
  <si>
    <t>Self-Consumption Price (% over Reference Market Price)</t>
  </si>
  <si>
    <t>Precio Autoconsumo (% sobre Precio Medio)</t>
  </si>
  <si>
    <t>Prezo Compensación (% sobre Prezo Medio)</t>
  </si>
  <si>
    <t>Hüvitishind (% Turuvõrdlushinnast)</t>
  </si>
  <si>
    <t>Compensation Price (% over Reference Market Price)</t>
  </si>
  <si>
    <t>Precio Compensación (% sobre Precio Medio)</t>
  </si>
  <si>
    <t>Prezo Venda (% sobre Prezo Medio)</t>
  </si>
  <si>
    <t>Müügihind (% üle Turuvõrdlushinna)</t>
  </si>
  <si>
    <t>Sale Price (% over Reference Market Price)</t>
  </si>
  <si>
    <t>Precio Venta (% sobre Precio Medio)</t>
  </si>
  <si>
    <t>Compensación ou Venda da Enerxía</t>
  </si>
  <si>
    <t>Energy Compensation or Energy Sale, Excedents Regime Applicable</t>
  </si>
  <si>
    <t>Compensación o Venta de la Energía</t>
  </si>
  <si>
    <t>Compensación</t>
  </si>
  <si>
    <t>Compensation</t>
  </si>
  <si>
    <t>Venda</t>
  </si>
  <si>
    <t>Müük</t>
  </si>
  <si>
    <t>Venta</t>
  </si>
  <si>
    <t>Porcentaxe Esóxena de Aforro sobre Consumo Total (%)</t>
  </si>
  <si>
    <t>Väline Säästu Osakaal Elektrienergia Kogutarbimisest (%)</t>
  </si>
  <si>
    <t>Exogenous Percentage of Savings over Total Electricity Consumption (%)</t>
  </si>
  <si>
    <t>Porcentaje Exógeno de Ahorro sobre Consumo Total (%)</t>
  </si>
  <si>
    <t>Batería Virtual (Si / Non)</t>
  </si>
  <si>
    <t>Virtuaalne Aku (Jah / Ei)</t>
  </si>
  <si>
    <t>Virtual Battery (Yes / No)</t>
  </si>
  <si>
    <t>Batería Virtual (Sí / No)</t>
  </si>
  <si>
    <t>Proporción da Enerxía Compensada que se Retribuiría Económicamente pola Comercializadora de NON existir Batería Virtual</t>
  </si>
  <si>
    <t>Kompenseeritava Energia Osakaal, Mille Energiamüügiettevõte Peab Majanduslikult Tagasi Andma/müüma, Kui Virtuaalset Akut EI ole.</t>
  </si>
  <si>
    <t>Proportion of Compensated Energy to be Economically Retributed by the Energy Selling Company if Virtual Battery does NOT exist.</t>
  </si>
  <si>
    <t>Proporción de la Energía Compensada que se Retribuiría Económicamente por la Comercializadora de NO existir Batería Virtual</t>
  </si>
  <si>
    <t>Proporción Autoconsumo s/ Enerxía Xerada (Mix Resid-Empr. Equilibrado)</t>
  </si>
  <si>
    <t>Omakasutuse Osakaal Toodetud Energia Suhtes (tasakaalustatud segu elu- ja ärihoonetest)</t>
  </si>
  <si>
    <t>Self-Consumption Over Produced Energy Proportion (Resid-Corp. Balanced Mix)</t>
  </si>
  <si>
    <t>Proporción Autoconsumo s/ Energía Generada (Mix Resid-Empr. Equilibrado)</t>
  </si>
  <si>
    <t>Proporción Autoconsumo s/ Enerxía Xerada (Mix Resid-Empr. Parcialmente Equilibrado)</t>
  </si>
  <si>
    <t>Omakasutuse Osakaal Toodetud Energia Suhtes (osaliselt tasakaalustatud elu- ja ärihoonete segu)</t>
  </si>
  <si>
    <t>Self-Consumption Over Produced Energy Proportion (Resid-Corp. Partially Balanced Mix)</t>
  </si>
  <si>
    <t>Proporción Autoconsumo s/ Energía Generada (Mix Resid-Empr. Parcialmente Equilibrado)</t>
  </si>
  <si>
    <t>Proporción Autoconsumo s/ Enerxía Xerada (Mix Resid-Empr. Desequilibrado)</t>
  </si>
  <si>
    <t>Omakasutuse Osakaal Toodetud Energia Suhtes (Elumajade Ja Ettevõtete Tasakaalustamata Segu)</t>
  </si>
  <si>
    <t>Self-Consumption Over Produced Energy Proportion (Resid-Corp. Unbalanced Mix)</t>
  </si>
  <si>
    <t>Proporción Autoconsumo s/ Energía Generada (Mix Resid-Empr. Desequilibrado)</t>
  </si>
  <si>
    <t>Retrib. Bruta Mensual</t>
  </si>
  <si>
    <t>Gross Monthly Wage (€)</t>
  </si>
  <si>
    <t>GASTOS: Gastos en Servizos Exteriores (Excl. Outros Servicios)</t>
  </si>
  <si>
    <t>EXPENSES: External Services Expenses (Excl. Other Services)</t>
  </si>
  <si>
    <t>GASTOS: Gastos en Servicios Exteriores (Excl. Otros Servicios)</t>
  </si>
  <si>
    <t>Arrendamentos e Cánones (Aluguer terreos)</t>
  </si>
  <si>
    <t>Rentals (Land and Others)</t>
  </si>
  <si>
    <t>Arrendamientos y Cánones (Alquiler de Terrenos)</t>
  </si>
  <si>
    <t>Reparacións e Mantemento das Instalacións</t>
  </si>
  <si>
    <t>Facilities Repairing and Maintenance</t>
  </si>
  <si>
    <t>Reparaciones y Mantenimiento de las Instalaciones</t>
  </si>
  <si>
    <t>Reparación das Instalacións</t>
  </si>
  <si>
    <t>Facilities Repairing Costs</t>
  </si>
  <si>
    <t>Reparación de las Instalaciones</t>
  </si>
  <si>
    <t>Mantemento das Instalacións</t>
  </si>
  <si>
    <t>Facilities Manintenance Costs</t>
  </si>
  <si>
    <t>Mantenimiento de las Instalaciones</t>
  </si>
  <si>
    <t>Servicios de Profesionais Indep. (Notarios, Avogados, Rexistradores, Economistas, Asesores, etc.)</t>
  </si>
  <si>
    <t>Profesional Services (Notaries, Lawyers, Registry Officers, Economists, Advisors, etc.)</t>
  </si>
  <si>
    <t>Servicios de Profesionales Indep. (Notarios, Abogados, Registradores, Economistas, Asesores, etc)</t>
  </si>
  <si>
    <t>Gastos de Notaría e Rexistro</t>
  </si>
  <si>
    <t>Notary and Registry Costs</t>
  </si>
  <si>
    <t>Gastos de Notaría y Registro</t>
  </si>
  <si>
    <t>Gastos de Asesoría Xurídica</t>
  </si>
  <si>
    <t>Legal Advisory Costs</t>
  </si>
  <si>
    <t>Gastos de Asesoría Jurídica</t>
  </si>
  <si>
    <t>Gastos de Asesoramento Económico-Financeiro</t>
  </si>
  <si>
    <t>Majandus- ja Finantsnõustamise Kulud</t>
  </si>
  <si>
    <t>Economic and Financial Advisory Costs</t>
  </si>
  <si>
    <t>Gastos de Asesoramiento Económico-Financiero</t>
  </si>
  <si>
    <t>Gastos de Asesoramento Técnico (Enxeñería)</t>
  </si>
  <si>
    <t>Technical Advisory (Engineering) Costs</t>
  </si>
  <si>
    <t>Gastos de Asesoramiento Técnico (Ingeniería)</t>
  </si>
  <si>
    <t>Fórmula Desindexación</t>
  </si>
  <si>
    <t>Deindekseerimise Valem</t>
  </si>
  <si>
    <t>Deindexing Formula</t>
  </si>
  <si>
    <t>% Anual</t>
  </si>
  <si>
    <t>Aastane Protsent (%)</t>
  </si>
  <si>
    <t>Annual Percentage (%)</t>
  </si>
  <si>
    <t>Taxa para a Actualización Salarios Sector (= IPC)</t>
  </si>
  <si>
    <t>Sektoripalkade Ajakohastamise Määr (= CPI), %.</t>
  </si>
  <si>
    <t>Sectorial Wages Updating Rate (= CPI)</t>
  </si>
  <si>
    <t>Tasa para la Actualización de los Salarios del Sector (= IPC)</t>
  </si>
  <si>
    <t>Taxa para a Actualización do Custo da Enerxía</t>
  </si>
  <si>
    <t>Energiakulude Ajakohastamise Määr (%)</t>
  </si>
  <si>
    <t>Energy Cost Updating Rate</t>
  </si>
  <si>
    <t>Tasa para la Actualización del Coste de la Energía</t>
  </si>
  <si>
    <t>Taxa para a Actualización dos Gastos de Explotación Xerais</t>
  </si>
  <si>
    <t>Üldiste Tegevuskulude Ajakohastamise Määr (%)</t>
  </si>
  <si>
    <t>General Operation Expenses Updating Rate</t>
  </si>
  <si>
    <t>Tasa para la Actualización de los Gastos de Explotación Generales</t>
  </si>
  <si>
    <t>Taxa para a Actualización de 'Outros Gastos de Explotación'</t>
  </si>
  <si>
    <t>Muud Tegevuskulude Ajakohastamise Määr (%)</t>
  </si>
  <si>
    <t>Other Operation Expenses Updating Rate</t>
  </si>
  <si>
    <t>Tasa para la Actualización de 'Otros Gastos de Explotación'</t>
  </si>
  <si>
    <t>Taxa de Variación do importe máximo das tarifas</t>
  </si>
  <si>
    <t>Maksimaalsete Määrade Kasvumäär (%)</t>
  </si>
  <si>
    <t xml:space="preserve">Growth Rate of the Maximum Amount for Rates </t>
  </si>
  <si>
    <t>Tasa de Variación del Importe Máximo de las Tarifas</t>
  </si>
  <si>
    <t>Transportes</t>
  </si>
  <si>
    <t>Transportation Expenses</t>
  </si>
  <si>
    <t>Primas de Seguros (% do Investimento Inicial, Anual)</t>
  </si>
  <si>
    <t>Insurance Premiums (% Over Initial Investment, Annual)</t>
  </si>
  <si>
    <t>Primas de Seguros (% de la Inversión Inicial, Anual)</t>
  </si>
  <si>
    <t>Servizos Bancarios</t>
  </si>
  <si>
    <t>Pangateenused</t>
  </si>
  <si>
    <t>Banking Services</t>
  </si>
  <si>
    <t>Servicios Bancarios</t>
  </si>
  <si>
    <t>Publicidade, Propaganda e RR.PP.</t>
  </si>
  <si>
    <t>Advertising, Propaganda e Public Relations</t>
  </si>
  <si>
    <t>Publicidad, Propaganda y RR.PP.</t>
  </si>
  <si>
    <t>Material e Actividades Publicitarias</t>
  </si>
  <si>
    <t>Advertising Materials and Activities</t>
  </si>
  <si>
    <t>Material y Actividades Publicitarias</t>
  </si>
  <si>
    <t>Actividades de Promoción</t>
  </si>
  <si>
    <t>Promotion Activities</t>
  </si>
  <si>
    <t>Relacións Públicas</t>
  </si>
  <si>
    <t>Avalikud Suhted</t>
  </si>
  <si>
    <t>Public Relations</t>
  </si>
  <si>
    <t>Relaciones Públicas</t>
  </si>
  <si>
    <t>Subministros</t>
  </si>
  <si>
    <t>Supplies</t>
  </si>
  <si>
    <t>Suministros</t>
  </si>
  <si>
    <t>Telefonía Fixa e/ou Móbil</t>
  </si>
  <si>
    <t>Landline and/or Mobile Telephony</t>
  </si>
  <si>
    <t>Telefonía Fija y/o Móvil</t>
  </si>
  <si>
    <t>Conexión a Internet</t>
  </si>
  <si>
    <t>Internet Connection</t>
  </si>
  <si>
    <t>Subministro de Electricidade (Termo de Potencia)</t>
  </si>
  <si>
    <t>Electricity Supply (Power Term)</t>
  </si>
  <si>
    <t>Suministro de Electricidad (Término de Potencia)</t>
  </si>
  <si>
    <t>Subministro de Electricidade (Termo de Enerxía e Outros)</t>
  </si>
  <si>
    <t>Electricity Supply (Energy Term and Other Concepts)</t>
  </si>
  <si>
    <t>Suministro de Electricidad (Término de Energía y Otros)</t>
  </si>
  <si>
    <t>Subministro de Auga Corrente</t>
  </si>
  <si>
    <t>Jooksev Veevarustus</t>
  </si>
  <si>
    <t>Running Water Supply</t>
  </si>
  <si>
    <t>Suministro de Agua Corriente</t>
  </si>
  <si>
    <t>Necesidade de Conexión a Internet, Propia (Si/Non)</t>
  </si>
  <si>
    <t>Own Internet Connection Required (Yes/No)</t>
  </si>
  <si>
    <t>Necesidad de Conexión a Internet, Propia (Sí/No)</t>
  </si>
  <si>
    <t>Outras Eventuais Percepcións dos Socios, procedentes da CE, Distintas da Enerxía Producida</t>
  </si>
  <si>
    <t>Muud Võimalikud Sissetulekud (perceptions) Partnerite Poolt, Energiaalgatuse Üksuse Poolt, mis Erinevad Toodetud Energiast</t>
  </si>
  <si>
    <t>Other eventual  perceptions by Partners, from the Energy Initiative Entity, Different from the Produced Energy</t>
  </si>
  <si>
    <t>Otras Eventuales Percepciones de los Socios, procedentes de la CE, Distintas de la Energía Producida</t>
  </si>
  <si>
    <t>Valor Anual Conxunto de Socios (€)</t>
  </si>
  <si>
    <t>Iga-aastane Summa Kõigi Partnerite Jaoks (€)</t>
  </si>
  <si>
    <t>Annual Amount for All Partners (€)</t>
  </si>
  <si>
    <t>Valor Anual Conjunto de Socios (€)</t>
  </si>
  <si>
    <t>Ingresos por Prestación Gratuíta de Outros Servizos pola Entidade Xestora da Iniciativa Comunitaria</t>
  </si>
  <si>
    <t>Tulu, mis Tuleneb Energiainitsiatiivi Haldava Üksuse Poolt Partneritele Osutatavatest Tasuta Teenustest.</t>
  </si>
  <si>
    <t>Income Deriving from Free-of-Charge Services provided to the Partners by the Energy Initiative Manager-Entity</t>
  </si>
  <si>
    <t>Ingresos por Prestación Gratuita de Otros Servicios por la Entidad Gestora de la Iniciativa Comunitaria</t>
  </si>
  <si>
    <t>Outros Ingresos Percibidos da Entidade Xestora da Iniciativa Comunitaria</t>
  </si>
  <si>
    <t>Muud Partnerite Poolt Tajutud Sissetulekud Energiaalgatuse Juht-üksuselt</t>
  </si>
  <si>
    <t>Other Incomes perceived by the Partners from the Energy Initiative Manager-Entity</t>
  </si>
  <si>
    <t>Otros Ingresos Percibidos de la Entidad Gestora de la Iniciativa Comunitaria</t>
  </si>
  <si>
    <t>Axuste de Exclusiva Aplicación para o Cálculo do Estado de Fluxos de Efectivo (EFE)</t>
  </si>
  <si>
    <t>Korrigeerimine Kohaldatakse aAinult Rahavoogude Aruande Arvutamisel.</t>
  </si>
  <si>
    <t>Adjustment Only Applicable  for the Cash Flow Statement Calculation</t>
  </si>
  <si>
    <t>Ajuste de Exclusiva Aplicación para el Cálculo del Estado de Flujos de Efectivo (EFE)</t>
  </si>
  <si>
    <t>Inclusión do Valor da Enerxía Producida como Ingreso que Xera Fluxo de Efectivo (Si/Non)</t>
  </si>
  <si>
    <t>Toodetud Energia Väärtuse Arvestamine Rahavooge Tekitava Tuluna (Jah/Ei)</t>
  </si>
  <si>
    <t>Inclusion of the Produced Energy Value as an Income which generates a cash flow (Yes/No)</t>
  </si>
  <si>
    <t>Inclusión del Valor de la Energía Producida como Ingreso que Genera Flujo de Efectivo (Sí/No)</t>
  </si>
  <si>
    <t>Determinación da Enerxía Xerada (KWh) por KWp Ao Ano</t>
  </si>
  <si>
    <t>Toodetud Energia (KWh aastas ja KWp Installeeritud Tippvõimsusest) Spetsifikatsioonimeetod</t>
  </si>
  <si>
    <t>Produced Energy (KWh per year and KWp of Peak Installed Power) Specification Method</t>
  </si>
  <si>
    <t>Determinación de la Energía Generada (KWh) por KWp al Año</t>
  </si>
  <si>
    <t>Determinación do Consumo Mensual (KWh) do Socio Promedio Tipo</t>
  </si>
  <si>
    <t>Partneri Keskmine Igakuine Elektritarbimine (KWh) Spetsifitseerimismeetod</t>
  </si>
  <si>
    <t>Average Partner Monthly Electricity Consumption (KWh) Specification Method</t>
  </si>
  <si>
    <t>Determinación del Consumo Mensual (KWh) del Socio Promedio Tipo</t>
  </si>
  <si>
    <t>Käsitsi</t>
  </si>
  <si>
    <t>Automática (Só Galicia)</t>
  </si>
  <si>
    <t>Automaatne (Ainult Galicia Jaoks)</t>
  </si>
  <si>
    <t>Automatic (Only for Galicia)</t>
  </si>
  <si>
    <t>Automática (Sólo Galicia)</t>
  </si>
  <si>
    <t>Enerxía Xerada (KWh) por KWp de Potencia Instalada ao Ano (Determinación Manual)</t>
  </si>
  <si>
    <t>Toodetud Energia (KWh aastas ja KWp Installeeritud Tippvõimsuse Kohta) (Manuaalne Spetsifikatsioon)</t>
  </si>
  <si>
    <t>Produced Energy (KWh per year and KWp of Peak Installed Power) (Manual Specification)</t>
  </si>
  <si>
    <t>Energía Generada (KWh) por KWp de Potencia Instalada al Año (Determinación Manual)</t>
  </si>
  <si>
    <t>Consumo Eléctrico Mensual (KWh) do Socio Promedio Tipo (Determinación Manual)</t>
  </si>
  <si>
    <t>Partneri Keskmine Igakuine Elektrienergia Tarbimine (KWh) (Käsitsi Määratud Väärtus)</t>
  </si>
  <si>
    <t>Average Partner Monthly Electricity Consumption (KWh) (Manual Specification)</t>
  </si>
  <si>
    <t>Consumo Eléctrico Mensual (KWh) del Socio Promedio Tipo (Determinación Manual)</t>
  </si>
  <si>
    <t>Desglose de Gastos en Asesoramento e Xestoría (Outros Servizos)</t>
  </si>
  <si>
    <t>Details concerning Advisory and Managerial Expenses (Other Services)</t>
  </si>
  <si>
    <t>Desglose de Gastos en Asesoramiento y Gestoría (Otros Servicios)</t>
  </si>
  <si>
    <t>Xestión da Entidade (Ata 25 Socios)</t>
  </si>
  <si>
    <t>Ettevõtte Juhtimine (Kuni 25 Partnerit)</t>
  </si>
  <si>
    <t>Entity Management (Up to 25 Partners)</t>
  </si>
  <si>
    <t>Gestión de la Entidad (Hasta 25 Socios)</t>
  </si>
  <si>
    <t>Monitoring Socios</t>
  </si>
  <si>
    <t>Energy Monitoring for Partners</t>
  </si>
  <si>
    <t>Asesoramento Contable, Fiscal e Outros</t>
  </si>
  <si>
    <t>Accounting Advisory, Tax Advisory and Other Advisory Services</t>
  </si>
  <si>
    <t>Asesoramiento Contable, Fiscal y Otros</t>
  </si>
  <si>
    <t>Imp. Mens. Por Socio (€)</t>
  </si>
  <si>
    <t>Monthly Amount per Partner (€)</t>
  </si>
  <si>
    <t>Importe Mensual (€)</t>
  </si>
  <si>
    <t>Total Monthly Amount (€)</t>
  </si>
  <si>
    <t>Aplicabilidade do Epígrafe de Gasto 'Gastos Xerais Non Incluídos en Epígrafes Previos' (Mín. Outros Servizos = 5% s/ Cifra de Negocios)</t>
  </si>
  <si>
    <t>Applicability of the Expense Concept 'General Operating Expenses Not Included in Previous Items' (Min. Other Services = 5% Entity Turnover)</t>
  </si>
  <si>
    <t>Aplicabilidad del Epígrafe de Gasto 'Gastos Generales No Incluidos en Epígrafes Previos' (Mín. Otros Servicios = 5% s/ Cifra de Negocios)</t>
  </si>
  <si>
    <t>Amortización Considerada Como Custo (Si/Non)</t>
  </si>
  <si>
    <t>Accounting 'Depreciation' Considered as a Cost (Yes/No)</t>
  </si>
  <si>
    <t>Amortización Considerada Como Coste (Sí/No)</t>
  </si>
  <si>
    <t>Garantías, Taxas Autonómicas, Municipais e Outras Obrigas Tributarias</t>
  </si>
  <si>
    <t>Economic Guarantees, Regional and Municipal Taxes, and Other Fiscal Duties</t>
  </si>
  <si>
    <t>Garantías, Tasas Autonómicas, Municipales y Otras Obligaciones Tributarias</t>
  </si>
  <si>
    <t>Garantía Económica para Tramitación da Solicitude de Acceso e Conexión á Rede (40€/KW)</t>
  </si>
  <si>
    <t>Economic Guarantee for the Grid Access and Connection Application (40€/KW)</t>
  </si>
  <si>
    <t>Garantía Económica para la Tramitación de la Solicitud de Acceso y Conexión a la Red (40€/KW)</t>
  </si>
  <si>
    <t>Taxa Autonómica por Inscrición en Rexistros Oficiais -Primeira Inscrición- (30.02.00 Anexo 1)</t>
  </si>
  <si>
    <t>Regional Tax for the First Registration -Official Electric Facilities Registry- (For Galicia, Tax Code 30.02.00 Annex 1)</t>
  </si>
  <si>
    <t>Tasa Autonómica por Inscripción en Registros Oficiales -Primera Inscripción- (En Galicia, Código 30.02.00 - Anexo 1)</t>
  </si>
  <si>
    <t>Taxa por Licencia Urbanística (Municipal)</t>
  </si>
  <si>
    <t>Municipal Tax for the Urbanistic License Issuance</t>
  </si>
  <si>
    <t>Tasa por Licencia Urbanística (Municipal)</t>
  </si>
  <si>
    <t>Imposto sobre Construccións, Instalacións e Obras</t>
  </si>
  <si>
    <t>Municipal Tax Over Constructions, Facilities and Works (ICIO, in Spain)</t>
  </si>
  <si>
    <t>Impuesto sobre Construcciones, Instalaciones y Obras</t>
  </si>
  <si>
    <t>Taxa por Obtención de Licencia de Actividade</t>
  </si>
  <si>
    <t>License of Activity Issuance Tax</t>
  </si>
  <si>
    <t>Tasa por Obtención de la Licencia de Actividad</t>
  </si>
  <si>
    <t>Outras Obrigas Tributarias</t>
  </si>
  <si>
    <t>Other Fiscal Duties</t>
  </si>
  <si>
    <t>Otras Obligaciones Tributarias</t>
  </si>
  <si>
    <t>Comprobacións Introdución Manual de Ratio de Produción e de Consumo do Socio Tipo cando a instalación NON se atopa en Galicia</t>
  </si>
  <si>
    <t>Tootmismäära Ja Keskmise Partneri Tarbimise Käsiraamatu Spetsifikatsioon: Kontrollib, Kui Rajatised EI ole Galicias</t>
  </si>
  <si>
    <t>Production Rate and Average-Partner Consumption Manual Specification: Checks when Facilities are NOT in Galicia</t>
  </si>
  <si>
    <t>Comprobaciones Introducción Manual de la Ratio de Producción y de Consumo del Socio Tipo cuando la instalación NO se encuentra en Galicia</t>
  </si>
  <si>
    <t>Prégase, NON CUBRIR:</t>
  </si>
  <si>
    <t>Palun Ärge Täitke:</t>
  </si>
  <si>
    <t>Please, do NOT fill:</t>
  </si>
  <si>
    <t>Se ruega, NO CUBRIR:</t>
  </si>
  <si>
    <t>Introdución Manual Enerxía Xerada por KWp Instalado</t>
  </si>
  <si>
    <t>Käsiraamatus Toodud Toodetud Energia Aastas ja KWp Installeeritud Tippvõimsuse Spetsifikatsioon</t>
  </si>
  <si>
    <t>Manual Specification of the Produced Energy per Year and KWp of Peak Installed Power</t>
  </si>
  <si>
    <t>Introducción Manual Energía Generada por KWp Instalado</t>
  </si>
  <si>
    <t>Introdución Manual do Consumo Mensual do Socio Tipo</t>
  </si>
  <si>
    <t>Keskmise Partneri Igakuise Elektritarbimise Käsitsi Määramine</t>
  </si>
  <si>
    <t>Manual Specification of the Average-Partner Monthly Electricity Consumption</t>
  </si>
  <si>
    <t>Introducción Manual del Consumo Mensual del Socio Tipo</t>
  </si>
  <si>
    <t>Verificación Correcta</t>
  </si>
  <si>
    <t>Õige Kontroll</t>
  </si>
  <si>
    <t>Right Check</t>
  </si>
  <si>
    <t>Verificación Non Aplicable</t>
  </si>
  <si>
    <t>Pole Kohaldatav Kontrollige</t>
  </si>
  <si>
    <t>Not Applicable Check</t>
  </si>
  <si>
    <t>Verificación No Aplicable</t>
  </si>
  <si>
    <t>Verificación Errónea</t>
  </si>
  <si>
    <t>Vale Kontroll</t>
  </si>
  <si>
    <t>Wrong Check</t>
  </si>
  <si>
    <t>Base Impoñible</t>
  </si>
  <si>
    <t>Maksubaas</t>
  </si>
  <si>
    <t>Tax Base</t>
  </si>
  <si>
    <t xml:space="preserve">Base Imponible </t>
  </si>
  <si>
    <t>Tipo de Gravame</t>
  </si>
  <si>
    <t>Tax Rate</t>
  </si>
  <si>
    <t>Tipo de Gravamen</t>
  </si>
  <si>
    <t>Cota Tributaria Íntegra</t>
  </si>
  <si>
    <t>Tax Amount Payable (Prev. Deducts.), €</t>
  </si>
  <si>
    <t>Cuota Tributaria Íntegra</t>
  </si>
  <si>
    <t>Deduc. Ou Bonif. sobre a Cota</t>
  </si>
  <si>
    <t>Tax Deductions or Tax Bonifications Over Initial Tax Amount Payable (€)</t>
  </si>
  <si>
    <t>Deducción o Bonificación sobre la Cuota</t>
  </si>
  <si>
    <t>Aplicabilidade</t>
  </si>
  <si>
    <t>Kohaldatavus (Jah/Ei)</t>
  </si>
  <si>
    <t>Applicability (Yes / No)</t>
  </si>
  <si>
    <t>Aplicabilidad (Sí / No)</t>
  </si>
  <si>
    <t>Outras Perdas en Xestión Corrente</t>
  </si>
  <si>
    <t>Other Losses Arising From Ordinary Corporate Operation Activities</t>
  </si>
  <si>
    <t>Otras Pérdidas en Gestión Corriente</t>
  </si>
  <si>
    <t>Concepto</t>
  </si>
  <si>
    <t>Kontseptsioon</t>
  </si>
  <si>
    <t>Concept</t>
  </si>
  <si>
    <t>Termo de Potencia (P1)</t>
  </si>
  <si>
    <t>Power Term (Peak Period, Period 1)</t>
  </si>
  <si>
    <t>Término de Potencia (P1)</t>
  </si>
  <si>
    <t>Termo de Potencia (P2)</t>
  </si>
  <si>
    <t>Power Term (Valley Period, Period 2)</t>
  </si>
  <si>
    <t>Término de Potencia (P2)</t>
  </si>
  <si>
    <t>Financiación Bono Social</t>
  </si>
  <si>
    <t>Social Bonus Financing</t>
  </si>
  <si>
    <t>Imposto sobre a Electricidade (Tipo Habitual)</t>
  </si>
  <si>
    <t>Electricity Special Tax (Ordinary Tax Rate) (%)</t>
  </si>
  <si>
    <t>Impuesto sobre la Electricidad (Tipo Habitual)</t>
  </si>
  <si>
    <t>Imposto sobre a Electricidade (Tipo Reducido Temporalmente)</t>
  </si>
  <si>
    <t>Electricity Special Tax (Temporary Reduced Tax Rate) (%)</t>
  </si>
  <si>
    <t>Impuesto sobre la Electricidad (Tipo Reducido Temporalmente)</t>
  </si>
  <si>
    <t>Aluguer do contador</t>
  </si>
  <si>
    <t>Electricity Meter Rental</t>
  </si>
  <si>
    <t>Alquiler del Contador</t>
  </si>
  <si>
    <t>IVE (Tipo Habitual)</t>
  </si>
  <si>
    <t>VAT (Ordinary Tax Rate)</t>
  </si>
  <si>
    <t>IVA (Tipo Habitual)</t>
  </si>
  <si>
    <t>IVE (Tipo Reducido Electricidade)</t>
  </si>
  <si>
    <t>IVA (Tipo Reducido Electricidad)</t>
  </si>
  <si>
    <t>IVE (Tipo Super-Reducido Electr.)</t>
  </si>
  <si>
    <t>VAT (Extra-Reduced Electricity Tax Rate)</t>
  </si>
  <si>
    <t>IVA (Tipo Super-Reducido Electricidad)</t>
  </si>
  <si>
    <t>Valor</t>
  </si>
  <si>
    <t>Value</t>
  </si>
  <si>
    <t>Unidade</t>
  </si>
  <si>
    <t>Üksus</t>
  </si>
  <si>
    <t>Unit</t>
  </si>
  <si>
    <t>Unidad</t>
  </si>
  <si>
    <t>€/KW e día</t>
  </si>
  <si>
    <t>€/KW and Day</t>
  </si>
  <si>
    <t>€/KW y día</t>
  </si>
  <si>
    <t>€/día</t>
  </si>
  <si>
    <t>€/Day</t>
  </si>
  <si>
    <t>% s/ Suma Conceptos Previos</t>
  </si>
  <si>
    <t>% Eelmiste Mõistete Summast</t>
  </si>
  <si>
    <t>% s/ Sum of Previous Concepts</t>
  </si>
  <si>
    <t>% s/ BI (Suma Conceptos Previos)</t>
  </si>
  <si>
    <t>% s/ Tax Base (Sum of Previous Concepts)</t>
  </si>
  <si>
    <t>Potencia Contratada por Cada Socio Individual</t>
  </si>
  <si>
    <t>Electricity Power Agreed by Each Individual Partner</t>
  </si>
  <si>
    <t>IVE: Tipo Impositivo Aplicable (H / R / S)</t>
  </si>
  <si>
    <t>VAT Tax Rate</t>
  </si>
  <si>
    <t>IVA: Tipo Impositivo Aplicable</t>
  </si>
  <si>
    <t>IVE: Tipo Impositivo Aplicable</t>
  </si>
  <si>
    <t>Käibemaks (Tavaline Maksumäär)</t>
  </si>
  <si>
    <t>Käibemaks (Vähendatud Elektrimaksumäär)</t>
  </si>
  <si>
    <t>Käibemaks (Eriliselt Alandatud Elektrimaksumäär)</t>
  </si>
  <si>
    <t>IVE (Tipo Super-Reducido Electricidade)</t>
  </si>
  <si>
    <t>KW</t>
  </si>
  <si>
    <t>Imposto s/Electricidade Reducido? (Si / Non)</t>
  </si>
  <si>
    <t>Elektrienergia Erimaksu Vähendatud Maksumäär? (Jah / Ei)</t>
  </si>
  <si>
    <t>Reduced Tax Rate for the Electricity Special Tax? (Yes / No)</t>
  </si>
  <si>
    <t>¿Impuesto s/Electricidad Reducido? (Sí / No)</t>
  </si>
  <si>
    <t>Hipóteses Participación Heteroxénea (Distrib. Aleatoria dos Consumos)</t>
  </si>
  <si>
    <t>Heterogeneous Participation Hypotheses (Partners' Consumptions Randomly Distributed)</t>
  </si>
  <si>
    <t>Hipótesis Participación Heterogénea (Distrib. Aleatoria de los Consumos)</t>
  </si>
  <si>
    <t>Consumo Mensual Máximo de Cada Socio Individual (KWh)</t>
  </si>
  <si>
    <t>Maksimaalne Igakuine Elektritarbimine Iga Üksiku Partneri Kohta (KWh)</t>
  </si>
  <si>
    <t>Maximum Monthly Electricity Consumption for Each Indiv. Partner (KWh)</t>
  </si>
  <si>
    <t>Consumo Mensual Mínimo de Cada Socio Individual (KWh)</t>
  </si>
  <si>
    <t>Minimaalne Igakuine Elektritarbimine Iga Üksiku Partneri Kohta (KWh)</t>
  </si>
  <si>
    <t>Minimum Monthly Electricity Consumption for Each Indiv. Partner (KWh)</t>
  </si>
  <si>
    <t>Provincia (Galicia)</t>
  </si>
  <si>
    <t>Garantía Admin. (Si/Non)</t>
  </si>
  <si>
    <t>Necesidade Novo CUPS</t>
  </si>
  <si>
    <t>Custo CUPS Fixo/Proporcional</t>
  </si>
  <si>
    <t>Compras de Materiais (Si/Non)</t>
  </si>
  <si>
    <t>Realización Labores de Xestión</t>
  </si>
  <si>
    <t>Subvención Pública (Si/Non)</t>
  </si>
  <si>
    <t>Impacto Fiscal Trasladado ás Cotas de Socios (Si/Non)</t>
  </si>
  <si>
    <t>Batería Virtual (Si/Non)</t>
  </si>
  <si>
    <t>Inclusión Valor da Enerxía no Estado de Fluxos de Efectivo (Si/Non)</t>
  </si>
  <si>
    <t>Método de Especificación da Enerxía Xerada e do Consumo Enerxético Mensual do Socio Tipo</t>
  </si>
  <si>
    <t>Resultados Comprobacións Introdución Manual Enerxía Producida e Consumo Socio Tipo</t>
  </si>
  <si>
    <t>Respuestas Pregunta</t>
  </si>
  <si>
    <t>Opciones mostradas</t>
  </si>
  <si>
    <t>Idiomas</t>
  </si>
  <si>
    <t>Täistööajale Taandatud Töötajate Arv</t>
  </si>
  <si>
    <t>Üksuse Poolt Ülevõetavad Sotsiaalkindlustuskulud (% Brutopalgast)</t>
  </si>
  <si>
    <t>Muud Sotsiaalkulud (Muud Personalikulud)</t>
  </si>
  <si>
    <t>Energiakompensatsioon või Energiamüük, Kohaldatav Ülemäärane Režiim</t>
  </si>
  <si>
    <t>Hüvitis</t>
  </si>
  <si>
    <t>EXPENSES: Materials and Services Purchases</t>
  </si>
  <si>
    <t>KULUD: Materjalide ja Teenuste Ostud</t>
  </si>
  <si>
    <t>Üksused</t>
  </si>
  <si>
    <t>Ühiku Väärtus (€)</t>
  </si>
  <si>
    <t>Unit Value (€)</t>
  </si>
  <si>
    <t>Valor Unitario (€)</t>
  </si>
  <si>
    <t>Muud Tarvikute Ostud</t>
  </si>
  <si>
    <t>Sisestatavate Elementide ja Komplektide Ostud</t>
  </si>
  <si>
    <t>Energiatarned (Kütused) Ostud</t>
  </si>
  <si>
    <t>Asendusmaterjalide Ostud</t>
  </si>
  <si>
    <t>Kontoritarvete Ostud</t>
  </si>
  <si>
    <t>Teiste Ettevõtete Tehtud Tööd</t>
  </si>
  <si>
    <t>Materjalide Ja Teenuste Ostud (Jah/Ei)</t>
  </si>
  <si>
    <t>Kuu Brutopalk (€)</t>
  </si>
  <si>
    <t>Retrib. Bruta Mensual (€)</t>
  </si>
  <si>
    <t>Juhtimisülesanded Tulemuslikkuse Alternatiiv</t>
  </si>
  <si>
    <t>KULUD: Väliskulud (V.A. Muud Teenused)</t>
  </si>
  <si>
    <t>Üürilepingud (Maa ja Muud)</t>
  </si>
  <si>
    <t>Rajatiste Remont ja Hooldus</t>
  </si>
  <si>
    <t>Rajatiste Remondikulud</t>
  </si>
  <si>
    <t>Rajatiste Hoolduskulud</t>
  </si>
  <si>
    <t>Professionaalsed Teenused (Notarid, Juristid, Registripidajad, Majandusteadlased, Nõustajad jne.)</t>
  </si>
  <si>
    <t>Notari ja Registri kulud</t>
  </si>
  <si>
    <t>Väärtus</t>
  </si>
  <si>
    <t>Õigusnõustamise Kulud</t>
  </si>
  <si>
    <t>Võimsusperiood (Tippperiood, Periood 1)</t>
  </si>
  <si>
    <t>Võimsusperiood (Mõõna Periood, Periood 2)</t>
  </si>
  <si>
    <t>Sotsiaalboonuse Rahastamine (Social Bonus Financing)</t>
  </si>
  <si>
    <t>Elektrienergia Erimaks (Tavaline Maksumäär) (%)</t>
  </si>
  <si>
    <t>Elektrienergia Erimaks (Ajutine Vähendatud Maksumäär) (%)</t>
  </si>
  <si>
    <t>Elektrimõõtja Rentimine</t>
  </si>
  <si>
    <t>Tehnilise Nõustamise (Inseneri) Kulud</t>
  </si>
  <si>
    <t>Käibemaks (Vähendatud Elektrimaksu Määr)</t>
  </si>
  <si>
    <t>Käibemaks (Ekstra Vähendatud Elektrienergia Maksumäär)</t>
  </si>
  <si>
    <t>€/KW ja Päev</t>
  </si>
  <si>
    <t>€/Päev</t>
  </si>
  <si>
    <t>Transpordikulud</t>
  </si>
  <si>
    <t>Iga Üksiku Partneri Poolt Tokkulepitud Elektrienergia</t>
  </si>
  <si>
    <t>Kindlustusmaksed (% üle Algse Investeeringu, Aastas)</t>
  </si>
  <si>
    <t>Käibemaksumäär</t>
  </si>
  <si>
    <t>Heterogeense Osaluse Hüpotees (Partnerite Tarbimine Juhuslikult Jaotatud)</t>
  </si>
  <si>
    <t>Reklaam, Propaganda ja Avalikud Suhted</t>
  </si>
  <si>
    <t>Reklaammaterjalid ja Tegevused</t>
  </si>
  <si>
    <t>Edendustegevused</t>
  </si>
  <si>
    <t>Tarvikud</t>
  </si>
  <si>
    <t>Püsiliin ja/või Mobiiltelefoniühendus</t>
  </si>
  <si>
    <t>Interneti-ühendus</t>
  </si>
  <si>
    <t>Elektrivarustus (Elektritermin)</t>
  </si>
  <si>
    <t>Elektrivarustus (Energiamõiste ja Muud Mõisted)</t>
  </si>
  <si>
    <t>Vajalik Oma Internetiühendus (Jah/Ei)</t>
  </si>
  <si>
    <t>Nõustamis- ja Juhtimiskulude (Muud Teenused) Üksikasjad</t>
  </si>
  <si>
    <t>Igakuine Summa Partneri Kohta (€)</t>
  </si>
  <si>
    <t>Igakuine Kogusumma (€)</t>
  </si>
  <si>
    <t>Energiaseire Partneritele</t>
  </si>
  <si>
    <t>Raamatupidamisnõustamine, Maksunõustamine ja Muud Nõustamisteenused</t>
  </si>
  <si>
    <t>Kulude Kontseptsiooni "Üldised Tegevuskulud, mis ei ole Tõlmatud Eelmiste Punktidega" Kohaldatavus (Min. Muud Teenused = 5% Üksuse Käibest)</t>
  </si>
  <si>
    <t>Arvestuslik "Amortisatsioon" kui Kulu (Jah/Ei)</t>
  </si>
  <si>
    <t>Majandustagatised, Piirkondlikud ja Munitsipaalmaksud Ning Muud Maksukohustused</t>
  </si>
  <si>
    <t>Maksumäär</t>
  </si>
  <si>
    <t>Maksmisele Kuuluv Maksusumma (Enne Mahaarvamisi), €.</t>
  </si>
  <si>
    <t>Maksuvähendused või Maksusoodustused üle Algse Maksusumma (€)</t>
  </si>
  <si>
    <t>Majanduslik Garantii Võrgule Juurdepääsu ja Liitumise Taotlusele (40 €/KW)</t>
  </si>
  <si>
    <t>Piirkondlik Esmaregistreerimismaks - Ametlik Elektriseadmete Register - (Galicia puhul, Maksukood 30.02.00, 1. Lisa)</t>
  </si>
  <si>
    <t>Munitsipaalmaks Linnaehituslitsentside Väljastamise Eest</t>
  </si>
  <si>
    <t>Ehitiste, Rajatiste ja Ehitustööde Kohalik Maks (ICIO, Hispaanias)</t>
  </si>
  <si>
    <t>Tegevusloa Väljastamise Maks</t>
  </si>
  <si>
    <t>Muud Maksualased Kohustused</t>
  </si>
  <si>
    <t>Muu Kahjum, mis Tuleneb Ettevõtte Tavapärasest Tegevusest</t>
  </si>
  <si>
    <t>% s/ Maksubaas (Eelmiste Mõistete Summa)</t>
  </si>
  <si>
    <t>Hipóteses</t>
  </si>
  <si>
    <t>Plan de Viabilidade Económico-Financeira para unha Iniciativa Enerxética Comunitaria con Autoconsumo Colectivo</t>
  </si>
  <si>
    <t>Introdución Manual do Consumo Mensual (KWh) do Socio Tipo</t>
  </si>
  <si>
    <t>Introdución Manual Enerxía Xerada por KWp</t>
  </si>
  <si>
    <t>Investimento Total Preciso (Inicial + Renovacións)</t>
  </si>
  <si>
    <r>
      <rPr>
        <b/>
        <u/>
        <sz val="10"/>
        <color rgb="FFFFFFFF"/>
        <rFont val="Calibri"/>
        <family val="2"/>
        <scheme val="minor"/>
      </rPr>
      <t>Comprobacións</t>
    </r>
    <r>
      <rPr>
        <b/>
        <sz val="10"/>
        <color indexed="9"/>
        <rFont val="Calibri"/>
        <family val="2"/>
        <scheme val="minor"/>
      </rPr>
      <t xml:space="preserve"> Introdución Manual de Ratio de Produción e deConsumo do Socio Tipo cando a instalación NON se atopa en Galicia</t>
    </r>
  </si>
  <si>
    <t>Importe a Investir en Renovacións na Vida do Proxecto</t>
  </si>
  <si>
    <t>Número de Renovacións Previstas</t>
  </si>
  <si>
    <t>Importe a Investir en cada Renovación</t>
  </si>
  <si>
    <t>Investimento Adicional en Renovación do Inversor (Anos 10, e 20)</t>
  </si>
  <si>
    <r>
      <t xml:space="preserve">Consumo Eléctrico </t>
    </r>
    <r>
      <rPr>
        <b/>
        <u/>
        <sz val="10"/>
        <color rgb="FFFFFFFF"/>
        <rFont val="Calibri"/>
        <family val="2"/>
      </rPr>
      <t xml:space="preserve">Mensual </t>
    </r>
    <r>
      <rPr>
        <b/>
        <sz val="10"/>
        <color rgb="FFFFFFFF"/>
        <rFont val="Calibri"/>
        <family val="2"/>
      </rPr>
      <t>(KWh) do Socio Promedio Tipo (Determinación Manual)</t>
    </r>
  </si>
  <si>
    <t>Cota de Amortización Anual Total (Importe)</t>
  </si>
  <si>
    <t>Cota de Amortización Anual Gastos de Constitución</t>
  </si>
  <si>
    <t>(KWh Xerados)</t>
  </si>
  <si>
    <t>Enerxía Xerada (kWh) por KWp ao Ano (Incl. Perdas) en cada Provincia Galega</t>
  </si>
  <si>
    <t>Cota de Amortización Anual Resto de Instalacións (Amort. Lineal)</t>
  </si>
  <si>
    <t>Cota de Amortización Anual Inversor (Amort. Lineal)</t>
  </si>
  <si>
    <t>Potencia Instalada Prevista (KW)</t>
  </si>
  <si>
    <t>Prazo Invest. Resto de Instalacións (Vida Útil Estimada)</t>
  </si>
  <si>
    <t>Potencia Instalable por  m2 (KW/m2)</t>
  </si>
  <si>
    <t>Investimento Resto de Instalacións (Importe en €)</t>
  </si>
  <si>
    <t>Investimento Resto de Instalacións (% s/ Invest. Inicial en Inst.)</t>
  </si>
  <si>
    <t>Cálculo da Potencia Instalada Prevista</t>
  </si>
  <si>
    <t>Investimento Inversor (Importe en €)</t>
  </si>
  <si>
    <t>Gastos de Constitución (A distribuír ao longo da Vida do Investimento)</t>
  </si>
  <si>
    <t>Desglose do Investimento</t>
  </si>
  <si>
    <t>Gastos de Constitución (Importe Fixo ou Proporcional ao Invest.)</t>
  </si>
  <si>
    <t>Hipóteses Autoconsumo e Compensación ou Venda</t>
  </si>
  <si>
    <t>Custo de Investimento Vinculado á Obtención do Novo CUPs</t>
  </si>
  <si>
    <t xml:space="preserve">Compras de Materiais e Servizos (Si/Non) </t>
  </si>
  <si>
    <t xml:space="preserve">Subvenc. Capital Transferida ao Resultado de cada Ano </t>
  </si>
  <si>
    <t>Lineal</t>
  </si>
  <si>
    <t>Criterio de Imputación a Resultados da Subvención</t>
  </si>
  <si>
    <t>Importe da Subvención</t>
  </si>
  <si>
    <t>Ratio de Subvención (Subv. -%- s/  -Invest. Inicial en Instalac.-)</t>
  </si>
  <si>
    <t>Necesidade de Novo CUPs, Propio (Si/Non)</t>
  </si>
  <si>
    <t xml:space="preserve">Realización das Labores de Xestión </t>
  </si>
  <si>
    <t>Total Taxas Municipais e Outras Obrigas Tributarias</t>
  </si>
  <si>
    <t>Número Máximo de Socios</t>
  </si>
  <si>
    <t>Consumo Estimado Socio Promedio Tipo (KWh/Ano)</t>
  </si>
  <si>
    <t>Cota Líquida</t>
  </si>
  <si>
    <t xml:space="preserve">Tipo de Gravame </t>
  </si>
  <si>
    <t xml:space="preserve">Base Impoñible </t>
  </si>
  <si>
    <t>Taxas Municipais e Outras Obrigas Tributarias</t>
  </si>
  <si>
    <t>Consumo Máximo Conxunto Socios (KWh/Ano)</t>
  </si>
  <si>
    <t>Enerxía Disp. Total (Prod. Estimada, KWh/Ano)</t>
  </si>
  <si>
    <t xml:space="preserve">Taxa de desconto </t>
  </si>
  <si>
    <t>Cálculo do Número Máximo de Socios</t>
  </si>
  <si>
    <t>Rendibilidade media 6 meses obrigas 10 anos</t>
  </si>
  <si>
    <t>Actualización de tarifas (15-25)</t>
  </si>
  <si>
    <t>Proporción de Autoconsumo Aplicable</t>
  </si>
  <si>
    <t>Variación do importe máximo das tarifas</t>
  </si>
  <si>
    <t>Ref. 2%</t>
  </si>
  <si>
    <t>Emprazamento das Instalacións (Só en Galicia)</t>
  </si>
  <si>
    <t>Actualización de tarifas (0-2)</t>
  </si>
  <si>
    <t>% outros gastos s/total gastos de explotación</t>
  </si>
  <si>
    <t>% gasto en luz s/total gastos de expl.</t>
  </si>
  <si>
    <t>Proporción Empresas s/ Total Socios</t>
  </si>
  <si>
    <t>% gasto persoal s/ total gastos de explotación</t>
  </si>
  <si>
    <t>Proporción Residencial s/ Total Socios</t>
  </si>
  <si>
    <t>Actualización outros gastos explotación</t>
  </si>
  <si>
    <t>Número Total de Socios</t>
  </si>
  <si>
    <t>Cota Mensual (€/Mes)</t>
  </si>
  <si>
    <t>Actualización custe da enerxía</t>
  </si>
  <si>
    <t>Número de Socios Segmento Empresas</t>
  </si>
  <si>
    <t>Actualización salarios sector = IPC</t>
  </si>
  <si>
    <t>Número de Socios Segmento Residencial</t>
  </si>
  <si>
    <t>Número de Socios</t>
  </si>
  <si>
    <t>Actualización salarios traballadores públicos</t>
  </si>
  <si>
    <t>Cotas de Socios</t>
  </si>
  <si>
    <t>Fondos propios</t>
  </si>
  <si>
    <t>Produción Estimada (MWh.)</t>
  </si>
  <si>
    <t>% Fondos Propios</t>
  </si>
  <si>
    <t>Número de Horas Equivalentes (NON Aplicable)</t>
  </si>
  <si>
    <t>Comisión de apertura</t>
  </si>
  <si>
    <t>Custe débeda</t>
  </si>
  <si>
    <t>Variación anual do importe máximo das tarifas</t>
  </si>
  <si>
    <t>Marxe</t>
  </si>
  <si>
    <t>Actualización de gastos de explotación</t>
  </si>
  <si>
    <t>Proporción da Enerxía Compensada que se Retribúe Económicamente pola Comercializadora (%)</t>
  </si>
  <si>
    <t>Enerxía Excedentaria Vendida (% S/ MWh Produc.)</t>
  </si>
  <si>
    <t>Enerxía Acollida a Compensac. (% S/ MWh Produc.)</t>
  </si>
  <si>
    <t>Enerxía Autoconsumida (% Sobre MWh Producidos)</t>
  </si>
  <si>
    <t>Euribor</t>
  </si>
  <si>
    <r>
      <t xml:space="preserve">Desembolso inicial (Incl. Inicial E Gastos Const.; </t>
    </r>
    <r>
      <rPr>
        <b/>
        <sz val="10"/>
        <rFont val="Calibri"/>
        <family val="2"/>
        <scheme val="minor"/>
      </rPr>
      <t>Excl. Renovac.</t>
    </r>
    <r>
      <rPr>
        <sz val="10"/>
        <rFont val="Calibri"/>
        <family val="2"/>
        <scheme val="minor"/>
      </rPr>
      <t>)</t>
    </r>
  </si>
  <si>
    <t>Investimento Preciso en Instalacións (Inicial e Renovacións)</t>
  </si>
  <si>
    <t>Ratio de Investimento (€/kW)</t>
  </si>
  <si>
    <t>Primeiro ano (meses)</t>
  </si>
  <si>
    <t>Tipo impositivo IS</t>
  </si>
  <si>
    <t>Periodo de carencia xuros</t>
  </si>
  <si>
    <t>Remuneración caixa</t>
  </si>
  <si>
    <t>Periodo de carencia capital (anos)</t>
  </si>
  <si>
    <t>Gastos de Constitución (Importe Fixo, se Aplicable)</t>
  </si>
  <si>
    <t>Prazo (anos)</t>
  </si>
  <si>
    <t>IVE - Período de liquidación (meses)</t>
  </si>
  <si>
    <t>Importe do préstamo</t>
  </si>
  <si>
    <t>IVE - Venda de mercaderías, gastos e invest.</t>
  </si>
  <si>
    <t>Ref. 50,00%</t>
  </si>
  <si>
    <t>% Financiamento do investimento</t>
  </si>
  <si>
    <t>Prazo da instalación (anos)</t>
  </si>
  <si>
    <t>Hipótesis Xerais</t>
  </si>
  <si>
    <t>Ano inicio actividade:</t>
  </si>
  <si>
    <r>
      <rPr>
        <b/>
        <u/>
        <sz val="9.4"/>
        <color rgb="FF00B050"/>
        <rFont val="Calibri"/>
        <family val="2"/>
        <scheme val="minor"/>
      </rPr>
      <t>Nota Importante:</t>
    </r>
    <r>
      <rPr>
        <b/>
        <sz val="9.4"/>
        <rFont val="Calibri"/>
        <family val="2"/>
        <scheme val="minor"/>
      </rPr>
      <t xml:space="preserve"> As Celas con cor de fonte (letra) </t>
    </r>
    <r>
      <rPr>
        <b/>
        <sz val="9.4"/>
        <color rgb="FF00B050"/>
        <rFont val="Calibri"/>
        <family val="2"/>
        <scheme val="minor"/>
      </rPr>
      <t>verde</t>
    </r>
    <r>
      <rPr>
        <b/>
        <sz val="9.4"/>
        <rFont val="Calibri"/>
        <family val="2"/>
        <scheme val="minor"/>
      </rPr>
      <t xml:space="preserve"> toman directamente os datos do Libro Insumos_Plan_de_Negocio.xlsx e non deben modificarse.</t>
    </r>
  </si>
  <si>
    <t>HIPÓTESES XERAIS</t>
  </si>
  <si>
    <t>Actualización de tarifas 1-25</t>
  </si>
  <si>
    <t>Actualización de custes</t>
  </si>
  <si>
    <t>IPC anual estimado</t>
  </si>
  <si>
    <t>MEDIA 2026-2049</t>
  </si>
  <si>
    <t>2030-2049</t>
  </si>
  <si>
    <t>2025-2049</t>
  </si>
  <si>
    <t>Hipótese de incremento de ingresos</t>
  </si>
  <si>
    <t>Capital + xuros carencia</t>
  </si>
  <si>
    <t>Amortizac.</t>
  </si>
  <si>
    <t>Interese Anual</t>
  </si>
  <si>
    <t>Cuota 
Anual</t>
  </si>
  <si>
    <t>Nº 
Cuotas</t>
  </si>
  <si>
    <t>TOTAL</t>
  </si>
  <si>
    <t>Pagos</t>
  </si>
  <si>
    <t>Interés anual</t>
  </si>
  <si>
    <t>Carencia</t>
  </si>
  <si>
    <t>Plazo anos</t>
  </si>
  <si>
    <t>Comisión apertura</t>
  </si>
  <si>
    <t>Financiamento da operación con préstamo</t>
  </si>
  <si>
    <t>Estados financeiros</t>
  </si>
  <si>
    <t>Cota Mínima Axustada por Impacto Fiscal a satisfacer polo Socio Tipo (Consumo = 294,41 KWh ao Mes)</t>
  </si>
  <si>
    <t>Anual</t>
  </si>
  <si>
    <t>Mensual</t>
  </si>
  <si>
    <t>Cotas de Socios Axustadas por Impacto Fiscal no Ano Inicial</t>
  </si>
  <si>
    <t>Cota Socio Mensual Axustada</t>
  </si>
  <si>
    <t>Cota Socio Anual Axustada</t>
  </si>
  <si>
    <t>2. A parte de cotas destinada a cubrir o sobre-custo que se imputa, á marxe da conta de resultados 'contable', en cada ano, para financiar o desembolso correspondente á renovación do inversor transcorridos 15 anos.</t>
  </si>
  <si>
    <t>Cota de Socio Axustada por Efecto Fiscal</t>
  </si>
  <si>
    <t>1. O valor económico da enerxía producida, na súa totalidade</t>
  </si>
  <si>
    <t>Sobrecusto Imposto por KWh. Atribuído</t>
  </si>
  <si>
    <t>Considerado o anterior, os ingresos que si se traducen nun maior resultado por non quedar absorbidos polos custos contablemente imputables á conta de resultados serán, en cada ano, os dous seguintes:</t>
  </si>
  <si>
    <t>Sobrecusto Imposto (Mensual por Socio)</t>
  </si>
  <si>
    <t>Esta parte das cotas de socios, así como a subvención, queda compensada cos custos monetarios incluídos na conta de resultados e, polo tanto, trátase de ingresos que NON tributarán no Imposto a que estea suxeita a Entidade, xa que non se traducirán nun maior resultado</t>
  </si>
  <si>
    <t>Sobrecusto Imposto (Anual por Socio)</t>
  </si>
  <si>
    <t>Existe unha parte das cotas de socios que se destina integramente a cubrir a diferencia existente en cada ano entre a suma dos custos monetarios imputados na conta de resultados (gastos do resultado contable) e a imputación da subvención.</t>
  </si>
  <si>
    <t>Cota Imposto</t>
  </si>
  <si>
    <t>Cálculo da Incidencia do Impacto Fiscal sobre o Valor das Cotas de Socio</t>
  </si>
  <si>
    <t>Base</t>
  </si>
  <si>
    <t>Cota Mínima a satisfacer polo Socio Tipo (Consumo = 294,41 KWh ao Mes)</t>
  </si>
  <si>
    <t>Cotas de Socios no Ano Inicial</t>
  </si>
  <si>
    <t>Cota Mensual Aplicable por KWh Atribuído (Imp. Mínimo para Cubrir Custos)</t>
  </si>
  <si>
    <t>Enerxía Xerada no Ano (KWh) -Efectivamente Atribuída aos Socios-</t>
  </si>
  <si>
    <t>Cota Mensual Promedio a satisfacer por Socio</t>
  </si>
  <si>
    <t>Suma de Cotas Anuais Precisas (Por Cada Socio)</t>
  </si>
  <si>
    <t>Número  de Socios (Hipótese Xeral)</t>
  </si>
  <si>
    <t>(=) Suma de Custos Anuais a Soportar por Socios</t>
  </si>
  <si>
    <t xml:space="preserve"> (-) Importe da Subvención Imputable ao Ano Dispoñible para Financiar Gasto</t>
  </si>
  <si>
    <t xml:space="preserve"> (+) Suma de Custos Anuais</t>
  </si>
  <si>
    <t>Determinación da Cota Promedio Necesaria Para a Cobertura de Custos:</t>
  </si>
  <si>
    <t>Superávit (+) ou Déficit (-)</t>
  </si>
  <si>
    <t>Suma de Custos</t>
  </si>
  <si>
    <t>Total Ingresos Monetarios Computables</t>
  </si>
  <si>
    <t>Suma de Outros Ingresos Monetarios (Imput. Subvención) Non Consumida en Invest.</t>
  </si>
  <si>
    <t>Suma de Ingresos Monetarios (Cotas)</t>
  </si>
  <si>
    <t>Resumo da Conta de Resultados:</t>
  </si>
  <si>
    <t>Resultado neto</t>
  </si>
  <si>
    <t>crédito fiscal acumulado</t>
  </si>
  <si>
    <t>crédito fiscal</t>
  </si>
  <si>
    <t>Imposto de sociedades</t>
  </si>
  <si>
    <t>Resultado antes de impostos</t>
  </si>
  <si>
    <t>Gastos financeiros</t>
  </si>
  <si>
    <t>Ingresos financeiros</t>
  </si>
  <si>
    <t>EBIT (Beneficio Antes de Intereses e Impostos)</t>
  </si>
  <si>
    <t>Amortización investimento</t>
  </si>
  <si>
    <t>EBITDA (Beneficio Antes de Interes, Impostos, Depreciacións e Amotizacións)</t>
  </si>
  <si>
    <t>Total gastos de explotación</t>
  </si>
  <si>
    <t>Outros Tributos (Distintos do IS ou IVE)</t>
  </si>
  <si>
    <t>Tributos</t>
  </si>
  <si>
    <t>Gastos comunidade no edificio e outros excepcionais</t>
  </si>
  <si>
    <t>Gastos en Servizos Exteriores</t>
  </si>
  <si>
    <t>Outros Servizos</t>
  </si>
  <si>
    <t>Servizos bancarios</t>
  </si>
  <si>
    <t>Primas de seguros</t>
  </si>
  <si>
    <t>Servicios de Profesionais Indep. (Notarios, Avogados, etc.)</t>
  </si>
  <si>
    <t>Gastos de persoal</t>
  </si>
  <si>
    <t>Soldos e Salarios</t>
  </si>
  <si>
    <t>Compras de Materiais e Servizos</t>
  </si>
  <si>
    <t>Vida Completa do Proxecto</t>
  </si>
  <si>
    <t>GASTOS</t>
  </si>
  <si>
    <t>Total Ingresos de Explotación</t>
  </si>
  <si>
    <t>Subvencións de Capital Transferidas ao Resultado do Exercicio (Imputación anual)</t>
  </si>
  <si>
    <t>Ingresos Totais pola Enerxía Producida</t>
  </si>
  <si>
    <t>Ingreso por Transmisión da Enerxía Excedentaria Vendida</t>
  </si>
  <si>
    <t>Ingreso por Transmisión da Enerxía Excedentaria Acollida a Compensación</t>
  </si>
  <si>
    <t>Ingreso por Consumo de Enerxía polos Socios</t>
  </si>
  <si>
    <t>ref 1</t>
  </si>
  <si>
    <t xml:space="preserve">INGRESOS  </t>
  </si>
  <si>
    <t>Cód. Conta Contable</t>
  </si>
  <si>
    <t>Valores Acumulados (Suma)</t>
  </si>
  <si>
    <t>Hipóteses de partida</t>
  </si>
  <si>
    <t>CONTA DE EXPLOTACIÓN</t>
  </si>
  <si>
    <t>Importe Inicial (€)</t>
  </si>
  <si>
    <t>Valor  Unitario</t>
  </si>
  <si>
    <t>Total Outros Tributos Ano Inicial</t>
  </si>
  <si>
    <t>Total Garantías e Taxas Autonómicas</t>
  </si>
  <si>
    <t>Importe Aplicable</t>
  </si>
  <si>
    <t>Garantía ou Tributo Autonómico</t>
  </si>
  <si>
    <t>Total Gastos de Asesoramento e Xestión</t>
  </si>
  <si>
    <t>n/a</t>
  </si>
  <si>
    <t>Xestión da Entidade (Ata 25 socios)</t>
  </si>
  <si>
    <t>Gastos Xerais Non Incluídos en Epígrafes Previos</t>
  </si>
  <si>
    <t>€ por Socio e Mes</t>
  </si>
  <si>
    <t>Asesoramento Contable e Fiscal e Xestoría Admin.</t>
  </si>
  <si>
    <t>Composición Gastos de Asesoramento e Xestoría (Só Aplicables en Subcontratación)</t>
  </si>
  <si>
    <t>Subministro de Auga</t>
  </si>
  <si>
    <t>Subministro de Electricidade (Termo de Enerxía e outros)</t>
  </si>
  <si>
    <t>Telefonía Fixa e/ou móbil</t>
  </si>
  <si>
    <t>Primas de seguros (2% do Investimento Inicial, Anual)</t>
  </si>
  <si>
    <t>Mantemento instalacións</t>
  </si>
  <si>
    <t>Reparación instalacións</t>
  </si>
  <si>
    <t>Valor Unit.</t>
  </si>
  <si>
    <t>(Aplicabilidade dos Gastos determinada automaticamente segundo o indicado en Hipóteses Xerais)</t>
  </si>
  <si>
    <t>Aplicabilidade dos Gastos de Compras de Materiais e Servizos (Si/Non)</t>
  </si>
  <si>
    <t>(Se se opta pola subcontratación, os gastos de persoal non resultan de Aplicación)</t>
  </si>
  <si>
    <t>Aplicabilidade dos Gastos de Persoal (Si/Non)</t>
  </si>
  <si>
    <t>Importe Inicial Anual (€)</t>
  </si>
  <si>
    <t>Valor Unit. Mens.</t>
  </si>
  <si>
    <t>Total Ingresos por Cotas de Socios e Outros Servizos Complementarios</t>
  </si>
  <si>
    <t>Ingresos por Prestación Doutros Servizos Complementarios aos Socios</t>
  </si>
  <si>
    <t>Cota Extra Inicial (Só Primeiro Ano)</t>
  </si>
  <si>
    <t>Importe  Ingreso (€)</t>
  </si>
  <si>
    <t>Valor Anual / Socio</t>
  </si>
  <si>
    <t>Unidades (Socios)</t>
  </si>
  <si>
    <t>Outros Ingresos: Cotas de Socios e Outros Servizos</t>
  </si>
  <si>
    <t>Valor Estimado da Enerxía Total Producida (Autoconsumida e Excedentaria)</t>
  </si>
  <si>
    <t>Valor Estimado da Enerxía Excedentaria Vendida (€)</t>
  </si>
  <si>
    <t>Valor Estimado da Enerxía Exc. Acollida a Compensación (€)</t>
  </si>
  <si>
    <t>Valor Estimado da Enerxía Autoconsumida (€)</t>
  </si>
  <si>
    <t>Valor da Enerxía (€)</t>
  </si>
  <si>
    <t>% Valorable Económicamente</t>
  </si>
  <si>
    <t>Enerxía Valorable Económicamente (Excluíndo a Vertida á Rede sen Remuneración):</t>
  </si>
  <si>
    <t>MWh Produc.</t>
  </si>
  <si>
    <t>Enerxía Excedentaria Vendida</t>
  </si>
  <si>
    <t>Enerxía Excedentaria Acollida a Compensación)</t>
  </si>
  <si>
    <t>Enerxía Autoconsumida</t>
  </si>
  <si>
    <t>Enerxía Modalidade (MWh)</t>
  </si>
  <si>
    <t>% sobre Total Produc.</t>
  </si>
  <si>
    <t>Prezo Medio do MWh. (En Venda) €/MWh</t>
  </si>
  <si>
    <t>Prezo Medio do MWh. (En Compensación) €/MWh</t>
  </si>
  <si>
    <t>Prezo Medio do MWh. (En Autoconsumo); €/MWh</t>
  </si>
  <si>
    <t>Prezo a Aplicar (€/MWh)</t>
  </si>
  <si>
    <t>% s/ Precio Medio</t>
  </si>
  <si>
    <t>Prezo Medio de Mercado</t>
  </si>
  <si>
    <t>€</t>
  </si>
  <si>
    <t>Valor Estimado da Produción Enerxética</t>
  </si>
  <si>
    <t>€/MWh</t>
  </si>
  <si>
    <t>Prezo Medio do MWh.</t>
  </si>
  <si>
    <t>MWh</t>
  </si>
  <si>
    <t>Produción Enerxética Anual Estimada</t>
  </si>
  <si>
    <t>Para necesidades operativas + com prest.</t>
  </si>
  <si>
    <t>Investimento</t>
  </si>
  <si>
    <t>Desembolso Inicial (Incl. Renovación de Instalacións)</t>
  </si>
  <si>
    <t>Total Recursos Financeiros (Propios e Alleos)</t>
  </si>
  <si>
    <t>Préstamo</t>
  </si>
  <si>
    <t>Subvención</t>
  </si>
  <si>
    <t>Aportación de Capital Propio dos Socios</t>
  </si>
  <si>
    <t>Periodo de Recuperación do Investimento Excl. Subv. (Anos)</t>
  </si>
  <si>
    <t>Periodo de Recuperación do Investimento (Anos)</t>
  </si>
  <si>
    <t>VAN Socios con Fluxos de Financiamento (ke 5%)</t>
  </si>
  <si>
    <t>TIR Modificada dos Socios</t>
  </si>
  <si>
    <t>Inclusión do Valor da Enerxía Producida como Ingreso que Si Xera un Fluxo de Efectivo Pseudo-Monetario (Si/Non)</t>
  </si>
  <si>
    <t>TIR Socios Incluíndo Fluxos de Financiamento</t>
  </si>
  <si>
    <t>TIR modificada proxecto</t>
  </si>
  <si>
    <t>Ter en conta se está a excluír ou non o valor da enerxía producida e transmitida gratuitamente aos socios para o seu autoconsumo ou compensación.</t>
  </si>
  <si>
    <t>TIR proxecto</t>
  </si>
  <si>
    <t>Rendemento da instalación e recursos financeiros necesarios</t>
  </si>
  <si>
    <t>Valor Actual Fluxo de Caixa Proxecto</t>
  </si>
  <si>
    <t>Valor Actual do Fluxo de Caixa</t>
  </si>
  <si>
    <t>Cash Flow dos Socios</t>
  </si>
  <si>
    <t>Cash Flow proxecto [A+B]</t>
  </si>
  <si>
    <t>Cash Flow Libre [A+B+C]</t>
  </si>
  <si>
    <t>Fluxo de Caixa das Actividades de Financiamento (Recursos Propios e Débeda) [C]</t>
  </si>
  <si>
    <t>(-) Pagos por Remuneración de Instrumentos de Patrimonio (Dividendos)</t>
  </si>
  <si>
    <t xml:space="preserve"> (-) Pagos por Remuneración de Débeda (Intereses Préstamo)</t>
  </si>
  <si>
    <t xml:space="preserve"> (-) Amortización de préstamo</t>
  </si>
  <si>
    <t xml:space="preserve"> (+) Concesión de Préstamo</t>
  </si>
  <si>
    <t xml:space="preserve"> (+) Subvencións Recibidas</t>
  </si>
  <si>
    <t>(-) Amortización de Instrumentos de Patrimonio (Accións ou Participacións)</t>
  </si>
  <si>
    <t>(+) Emisión de Instrumentos de Patrimonio (Accións ou Participacións)</t>
  </si>
  <si>
    <t>Fluxo de Caixa das Actividades de Financiamento (Recursos Propios e Débeda)</t>
  </si>
  <si>
    <t>(=) Fluxo de Caixa das Actividades de Investimento [B]</t>
  </si>
  <si>
    <t>(+) Cobros por Desinversións Efectuadas</t>
  </si>
  <si>
    <t>(-) Pagos por Inversións Efectuadas</t>
  </si>
  <si>
    <t>Fluxo de Caixa das Actividades de Investimento</t>
  </si>
  <si>
    <t>(=) Fluxo de Caixa Operativo ou das Actividades de Explotación [A]</t>
  </si>
  <si>
    <t xml:space="preserve"> (-) / (+) Outros Ingresos e Gastos que Non Supoñen Fluxo de Efectivo</t>
  </si>
  <si>
    <t xml:space="preserve"> (+) Gastos Financeiros (Intereses da Débeda)</t>
  </si>
  <si>
    <t xml:space="preserve"> (-) Ingresos Financeiros</t>
  </si>
  <si>
    <t xml:space="preserve"> (-) Imputación de Subvencións no Resultado do Exercicio</t>
  </si>
  <si>
    <t xml:space="preserve"> (+) Variación Neta do Capital Circulante (Estimado en 1 Mes de Gastos de Explotación)</t>
  </si>
  <si>
    <t xml:space="preserve"> (+) Amortización do Investimento</t>
  </si>
  <si>
    <t xml:space="preserve"> (-) Ingresos por Enerxía Autoconsumida e Compensada</t>
  </si>
  <si>
    <t>Resultado Explotación</t>
  </si>
  <si>
    <t>Fluxo de Caixa Operativo</t>
  </si>
  <si>
    <t xml:space="preserve"> Conxunto dos 25 Anos</t>
  </si>
  <si>
    <t>Conceptos</t>
  </si>
  <si>
    <t>Total Proxecto</t>
  </si>
  <si>
    <t>Fluxos de caixa</t>
  </si>
  <si>
    <t>Préstamo [Non Aplicable, pois, de solicitarse, a débeda a contrae a Entidade]</t>
  </si>
  <si>
    <t>Subvención [Non Aplicable, pois se concede á Entidade e Non aos Socios]</t>
  </si>
  <si>
    <t>VAN Socios  (ke 5%)</t>
  </si>
  <si>
    <t>TIR Socios</t>
  </si>
  <si>
    <t>* Fluxo Neto de Valor Económico Actualizado *</t>
  </si>
  <si>
    <t>(=) Fluxo Neto de Valor Económico a Favor (+) do Socio ou na súa Contra (-) [A+B]</t>
  </si>
  <si>
    <t>(=) Total Valor Económico Aportado á Iniciativa Enerxética Comunitaria [B]</t>
  </si>
  <si>
    <t>(-) Cotas de Socio (Ordinarias + Extraordinaria Primeiro Ano) e Semellantes</t>
  </si>
  <si>
    <t>(-) Aportación de Capital á Iniciativa Comunitaria no Momento Inicial</t>
  </si>
  <si>
    <t>(=) Total Valor Económico Recibido da Iniciativa Enerxética Comunitaria [A]</t>
  </si>
  <si>
    <t>(+) Valor Económico da Enerxía Destinada á Venda</t>
  </si>
  <si>
    <t>(+) Valor Económico da Enerxía Destinada á Compensación</t>
  </si>
  <si>
    <t>(+) Valor Económico da Enerxía Autoconsumida</t>
  </si>
  <si>
    <t>Estimación do Consumo Eléctrico Medio Por Fogar</t>
  </si>
  <si>
    <t>Conxunto de España</t>
  </si>
  <si>
    <t>KWh. ao Mes</t>
  </si>
  <si>
    <t>KWh. ao Ano</t>
  </si>
  <si>
    <t>Consumo Enerxético Medio Por Fogar (KWh.) [Idae, Xullo 2011, pp. 55 a 57 ]</t>
  </si>
  <si>
    <t>Proporción do Consumo Eléctrico s/ Consumo Enerxético en España</t>
  </si>
  <si>
    <t>Consumo Eléctrico Medio Por Fogar (KWh.) en España [Idae, Xullo 2011, pp. 55 a 57]</t>
  </si>
  <si>
    <t>Zona Climática Atlántico Norte</t>
  </si>
  <si>
    <t>Proporción do Consumo Eléctrico s/ Consumo Enerxético Zona Climática A-N.</t>
  </si>
  <si>
    <t>Consumo Eléctrico Medio Por Fogar (KWh.) en Zona Climática Atlántico Norte [Idae, Xullo 2011, pp. 55 a 57]</t>
  </si>
  <si>
    <t>Corrección por Evolución Consumo Enerxético 2010-2022</t>
  </si>
  <si>
    <t>Consumo de Enerxía Final (Só Electricidade) en España (Exc. Usos Non Enerxéticos) (Ktep) [Fonte: Balance Enerxético de España 2021-22, Táboa 1.9]</t>
  </si>
  <si>
    <t>Coeficiente de Corrección (Peso Relativo Consumo 2022 s/ Consumo 2010)</t>
  </si>
  <si>
    <t>Consumo Medio por Fogar (KWh.) en Zona Climática Atlántico Norte, Axustado pola Evolución do Consumo Eléctrico no Período 2010-2022</t>
  </si>
  <si>
    <t>Consumo Estimado para unha Comunidade de 25 Fogares</t>
  </si>
  <si>
    <t>Outros Ingresos Percibidos da CE</t>
  </si>
  <si>
    <t>Ingresos por Prestación Gratuíta de Outros Servizos pola CE</t>
  </si>
  <si>
    <t>Valor Individual por Socio</t>
  </si>
  <si>
    <t>Valor Conxunto</t>
  </si>
  <si>
    <t>Outras Percepcións dos Socios procedentes da CE</t>
  </si>
  <si>
    <t>Enerxía Excedentaria Vendida no Ano Inicial (MWh)</t>
  </si>
  <si>
    <t>Enerxía Excedentaria Suxeita a Compensación no Ano Inicial (MWh)</t>
  </si>
  <si>
    <t>Enerxía Autoconsumida Ano Inicial (MWh)</t>
  </si>
  <si>
    <t>Enerxía Producida Ano Inicial (MWh)</t>
  </si>
  <si>
    <t>Valor Enerxía Individualizada (€)</t>
  </si>
  <si>
    <t>Enerxía Individualizada (MWh)</t>
  </si>
  <si>
    <t>Valor Enerxía (€)</t>
  </si>
  <si>
    <t>Enerxía (MWh)</t>
  </si>
  <si>
    <t>Coeficiente de Reparto / Participación</t>
  </si>
  <si>
    <t>Investimento Individual por Socio</t>
  </si>
  <si>
    <t>Os datos desta folla cumpliméntase automáticamente, polo que non procede a súa modificación manual.</t>
  </si>
  <si>
    <t>Investimento (Capital Social)</t>
  </si>
  <si>
    <t>IMPORTANTE:</t>
  </si>
  <si>
    <t>Período de Recuperación do Investimento (Anos)</t>
  </si>
  <si>
    <t>TIR Modificada Conxunto dos Socios</t>
  </si>
  <si>
    <t>TIR Conxunto dos Socios</t>
  </si>
  <si>
    <t>Valor Actual Neto dos Fluxos de Valor Económico Esperados</t>
  </si>
  <si>
    <t>Valor Actual Neto dos Fluxos Positivos de Valor Económico</t>
  </si>
  <si>
    <t>Aportación Inicial dos Socios á Iniciativa Enerxética Comunitaria</t>
  </si>
  <si>
    <t>(Celda en Cor debe conter valor 0,00€; Cor Verde)</t>
  </si>
  <si>
    <t>Comprob. Coherencia entre Resultado Indiv. e Colectivo</t>
  </si>
  <si>
    <t>Valor Actual do Resultado Anual da Participación do Socio</t>
  </si>
  <si>
    <t>Resultado Anual da Participación Colectiva dos Socios na CE</t>
  </si>
  <si>
    <t>Total Gastos Derivados da Pertenza á CE</t>
  </si>
  <si>
    <t>Cargos por Servizos Complementarios aos Socios</t>
  </si>
  <si>
    <t>Conxunto Proxecto</t>
  </si>
  <si>
    <t>Total</t>
  </si>
  <si>
    <t>Total Ingresos Derivados da Pertenza á CE</t>
  </si>
  <si>
    <t>Ingresos por Enerxía Excedentaria Vendida</t>
  </si>
  <si>
    <t>Ingresos por Enerxía Excedentaria Suxeita a Compensación</t>
  </si>
  <si>
    <t>Ingresos por Enerxía Autoconsumida</t>
  </si>
  <si>
    <t>TIR Modificada Socio Individual</t>
  </si>
  <si>
    <t>TIR Socio Individual</t>
  </si>
  <si>
    <t>Aportación Inicial do Socio á Iniciativa Enerxética Comunitaria</t>
  </si>
  <si>
    <t>Resultado Anual da Participación do Socio Individual na CE</t>
  </si>
  <si>
    <t>% s/ BI (Suma Conceptos Previos</t>
  </si>
  <si>
    <t>IVE? (H / R / S)</t>
  </si>
  <si>
    <t>Imposto s/Electricidade Reducido?</t>
  </si>
  <si>
    <t>€/KWh</t>
  </si>
  <si>
    <t>Termo de Enerxía (Consumo)</t>
  </si>
  <si>
    <t>€/KWh e día</t>
  </si>
  <si>
    <t>IMPORTE TOTAL DA FATURA (Base Impoñible + Cota de IVE)</t>
  </si>
  <si>
    <t>IVE (Tipo Reducido Temporalmente)</t>
  </si>
  <si>
    <t>Base Impoñible do IVE (Suma dos Conceptos Previos)</t>
  </si>
  <si>
    <t>Subtotal (Suma dos Conceptos Previos)</t>
  </si>
  <si>
    <t>Importe (€)</t>
  </si>
  <si>
    <t>Unidades ou Base</t>
  </si>
  <si>
    <t>Concepto Faturado</t>
  </si>
  <si>
    <t>Exceso do Importe a Aboar sobre o Importe da Factura</t>
  </si>
  <si>
    <t>Novo Importe A Pagar (Importe Factura - Importe a Aboar)</t>
  </si>
  <si>
    <t>Importe a Aboar ao Prosumidor por Compensación ou Venda</t>
  </si>
  <si>
    <t>Valor da Enerxía Vendida Transmitida á Comercializadora</t>
  </si>
  <si>
    <t>Valor da Enerxía Suxeita a Compensación Transmitida á Comercializadora</t>
  </si>
  <si>
    <t>Prezo (€/KWh)</t>
  </si>
  <si>
    <t>KWh</t>
  </si>
  <si>
    <t>Compensacións</t>
  </si>
  <si>
    <t>Enerxía Mercada á Comercializadora</t>
  </si>
  <si>
    <t>Enerxía Producida Destinada á Compensación e Vertida á Rede sen Retribución Efectiva</t>
  </si>
  <si>
    <t>Enerxía Destinada á Compensación Efectivamente Retribuída (KWh)</t>
  </si>
  <si>
    <t>Validación (Enerxía Atribuíble ao Socio = Enerxía Efect. Autoconsumida e Destinada á Compensación ou Venda)</t>
  </si>
  <si>
    <t>Enerxía Efectiv. Autoconsumida e Destinada á Compensación ou á Venda (KWh.)</t>
  </si>
  <si>
    <t>Enerxía Efectivamente Vendida (KWh)</t>
  </si>
  <si>
    <t>Enerxía Destinada á Compensación (KWh)</t>
  </si>
  <si>
    <t>Enerxía Efectivamente Autoconsumida (KWh)</t>
  </si>
  <si>
    <t>Enerxía Efectivamente Demandada (KWh)</t>
  </si>
  <si>
    <t>Enerxía Producida Efectivamente Atribuíble a Cada Socio (Destinada A Autoconsumo e a Compensación Ou Venda), KWh.</t>
  </si>
  <si>
    <t>Enerxía correspondente á % de Aforro sobre Consumo, para Cada Socio (KWh.)</t>
  </si>
  <si>
    <t>Enerxía Producida Atribuíble a Cada Socio</t>
  </si>
  <si>
    <t>Total Enerxía Producida Atribuíble aos Socios</t>
  </si>
  <si>
    <t>Enerxía Disp. Para Venda (KWh)</t>
  </si>
  <si>
    <t>Enerxía Disp. Para Compensación (KWh)</t>
  </si>
  <si>
    <t>Enerxía Disp. Para Autoconsumo (KWh)</t>
  </si>
  <si>
    <t>Mes</t>
  </si>
  <si>
    <t>Ano</t>
  </si>
  <si>
    <t>Efecto Económico Neto Total (% s/ Importe da súa Factura Orixinal)</t>
  </si>
  <si>
    <t>(=) Efecto Económico Neto Total para o Socio (Positivo - Negativo)</t>
  </si>
  <si>
    <t>(-) Efecto Económico Negativo Total para o Socio (Cotas Pagadas á Entidade)</t>
  </si>
  <si>
    <t>(+) Efecto Económico Positivo Total para o Socio (Menor Importe a Pagar en Factura + Importe Obtido pola Enerxía Destinada á Compensación ou Venda)</t>
  </si>
  <si>
    <t>Consumo Mensual do Consumidor Tipo (KWh/Mes)</t>
  </si>
  <si>
    <t>(Considérase un mes tipo, para un consumidor tipo)</t>
  </si>
  <si>
    <t>Determinación do Efecto Económico Neto para o Socio da súa Pertenza á Iniciativa Enerxética Comunitaria</t>
  </si>
  <si>
    <t>Efecto Económico Positivo Total para o Socio</t>
  </si>
  <si>
    <t>Dif. s/Nova Fra. (Reduc.)</t>
  </si>
  <si>
    <t>Dif. % s/Fra. Inicial</t>
  </si>
  <si>
    <t>Diferencia</t>
  </si>
  <si>
    <t>Con CE (€)</t>
  </si>
  <si>
    <t>Sen CE (€)</t>
  </si>
  <si>
    <t>Dif. En %</t>
  </si>
  <si>
    <t>Consumo Total dos Socios</t>
  </si>
  <si>
    <t>Máxima Enerxía Atribuíble a un único socio (% s/ Producida)</t>
  </si>
  <si>
    <t>Proporción de Aforro de cada socio sobre a súa Factura inicial</t>
  </si>
  <si>
    <t>Consumo Total Mensual dos Socios</t>
  </si>
  <si>
    <t>Consumo Mensual Mínimo dos Socios</t>
  </si>
  <si>
    <t>Consumo Mensual Máximo dos Socios</t>
  </si>
  <si>
    <t>Coeficiente de Reparto (%)</t>
  </si>
  <si>
    <t>Consumo Enerxético Promedio Mensual do Socio (KWh)</t>
  </si>
  <si>
    <t>ID. de Socio</t>
  </si>
  <si>
    <t>Enerxía Non Asignada (Debe Ser Positivo e Próximo a Cero)</t>
  </si>
  <si>
    <t>Comprobación  Total Enerxía Autoconsumida, Compensada Ou Vendida &lt; ou = có Total de Enerxía Producida no Mes</t>
  </si>
  <si>
    <t>Enerxía Mercada á Comercializadora (KWh.)</t>
  </si>
  <si>
    <t>Enerxía Destinada á Compensación (KWh) Vertida á Rede sen Retribución</t>
  </si>
  <si>
    <t>Enerxía Destinada á Compensación (KWh) Efectivamente Retribuída</t>
  </si>
  <si>
    <t>Enerxía Efectiv. Autoconsumida e Compensada ou Vendida</t>
  </si>
  <si>
    <t>Ref. (Máximo)</t>
  </si>
  <si>
    <t>Total Enerxía Producida Atribuíble (KWh)</t>
  </si>
  <si>
    <t>Total Enerxía Producida Atribuíble por Mes (Todos os Socios)</t>
  </si>
  <si>
    <t>Enerxía Producida Dispoñible para Venda, por Mes (Todos os Socios)</t>
  </si>
  <si>
    <t>Enerxía Producida Dispoñible para Compensación, por Mes (Todos os Socios)</t>
  </si>
  <si>
    <t>Enerxía Producida Dispoñible para Autoconsumo, por Mes (Todos os Socios)</t>
  </si>
  <si>
    <t>Valor Económico</t>
  </si>
  <si>
    <t>Prezo Aplicable por KWh</t>
  </si>
  <si>
    <t>% Retrib. (Só Compensación)</t>
  </si>
  <si>
    <t>KWh. Ao Mes</t>
  </si>
  <si>
    <t>Enerxía Producida Atribuíble por Mes para Autoconsumo e Compensación ou Venda</t>
  </si>
  <si>
    <t>Diferencia entre o Aforro Preciso en Compensación ou Venda e  o Importe a Aboar por Compensación ou Venda</t>
  </si>
  <si>
    <t>Aforro Preciso en Compensación ou Venda</t>
  </si>
  <si>
    <t>Aforro Preciso (En Factura e Por Compensación ou Venda)</t>
  </si>
  <si>
    <t>Aforro a Realizar Efectivamente en Factura</t>
  </si>
  <si>
    <t>Déficit do Aforro Obtido fronte ao Necesario (Debería Aproximarse a Cero)</t>
  </si>
  <si>
    <t>Impacto Económico Positivo Total Obtido</t>
  </si>
  <si>
    <t>Ingresos por Venda de Enerxía Excedentaria á Comercializadora</t>
  </si>
  <si>
    <t>Ingresos por Transmisión á Comercializadora de Enerxía Excedentaria Suxeita a Compensación</t>
  </si>
  <si>
    <t>[(Factura Con CE) - (Factura Sen CE)]</t>
  </si>
  <si>
    <t>Aforro na Factura da Electricidade</t>
  </si>
  <si>
    <t>Total dos Socios</t>
  </si>
  <si>
    <t>Resultado Neto Mensual Esperado para o Socio da súa Pertenza á Comunidade (% s/ Factura Inicial)</t>
  </si>
  <si>
    <t>Resultado Neto Mensual Esperado para o Socio da súa Pertenza á Comunidade (€)</t>
  </si>
  <si>
    <t>Total de Custos Soportados polo Socio no Mes, Derivados da súa Pertenza á Comunidade (€)</t>
  </si>
  <si>
    <t>Outros Desembolsos Mensuais do Socio a Favor da CE ou Entidade -€/Mes-</t>
  </si>
  <si>
    <t>Cota Mensual Ordinaria (Todos os Anos) -€/Mes-</t>
  </si>
  <si>
    <t>Cota Mensual Extraordinaria Primeiro Ano -€/Mes-</t>
  </si>
  <si>
    <t>(Aforro na Factura e Ingresos por Compensación ou Venda da Enerxía Excedentaria)</t>
  </si>
  <si>
    <t>Impacto Económico Positivo Total Preciso (Mensual)</t>
  </si>
  <si>
    <t>Enerxía Producida Atribuíble ao Socio pero Non Efectivamente Asignada ao Mesmo (Por Consumo Insuficiente Deste)</t>
  </si>
  <si>
    <t>Comprobación (Consumo = Autoconsumo + Enerxía Mercada)</t>
  </si>
  <si>
    <t>Enerxía Compensada Retribuída (KWh.)</t>
  </si>
  <si>
    <t>Enerxía Vertida á Rede sen Compensación Económica (KWh.)</t>
  </si>
  <si>
    <t>Enerxía Efectivamente Destinada á Compensación (KWh)</t>
  </si>
  <si>
    <t>Total Enerxía Producida Atribuíble ao Socio (KWh)</t>
  </si>
  <si>
    <t>Impacto Económico Positivo Total</t>
  </si>
  <si>
    <t>Impacto Económico Positivo Total (Mensual)</t>
  </si>
  <si>
    <t>Inclusión del Valor de la Energía Producida como Ingreso que Si Genera un Flujo de Efectivo Pseudo-Monetario (Si/No)</t>
  </si>
  <si>
    <t>Inclusion of Value of Energy Produced as Income that Does Generate a Pseudo-Monetary Cash Flow (Yes/No)</t>
  </si>
  <si>
    <t>Toodetud Energia Väärtuse Lisamine Tuluna, mis Tekitab Pseudorahalise Rahavoo (Jah/Ei)</t>
  </si>
  <si>
    <t xml:space="preserve"> Conjunto de los 25 Años</t>
  </si>
  <si>
    <t xml:space="preserve"> 25 Year Set</t>
  </si>
  <si>
    <t>25 Aastat Komplekt</t>
  </si>
  <si>
    <t>Conxunto dos 25 Anos</t>
  </si>
  <si>
    <t>Total Proyecto</t>
  </si>
  <si>
    <t>Project Total</t>
  </si>
  <si>
    <t>Projekt Kogu</t>
  </si>
  <si>
    <t>Tener en cuenta si se está a excluír o no el valor de la energía producida y transmitida gratuitamente a los socios para su autoconsumo o compensación.</t>
  </si>
  <si>
    <t>Consider whether or not to exclude the value of the energy produced and transmitted free of charge to the members for self-consumption or compensation.</t>
  </si>
  <si>
    <t>Arvestada, kas toodetud ja liikmetele omatarbeks või hüvitamiseks tasuta edastatud energia väärtus tuleb välja jätta või mitte.</t>
  </si>
  <si>
    <t>Para Necesidades Operativas:</t>
  </si>
  <si>
    <t>For Operational Needs:</t>
  </si>
  <si>
    <t>Operatiivvajadusteks:</t>
  </si>
  <si>
    <t>Inversión</t>
  </si>
  <si>
    <t>Investment</t>
  </si>
  <si>
    <t>Investeering</t>
  </si>
  <si>
    <t>Desembolso Inicial (Incl. Renovación de Instalaciones)</t>
  </si>
  <si>
    <t>Initial Disbursement (Incl. Renovation of Facilities)</t>
  </si>
  <si>
    <t>Esmane Väljamakse (Sh Hoone Renoveerimine)</t>
  </si>
  <si>
    <t>Total Recursos Financieros (Propios y Ajenos)</t>
  </si>
  <si>
    <t>Total Financial Resources (Own and Borrowed)</t>
  </si>
  <si>
    <t>Finantsressursid Kokku (Oma ja Välised)</t>
  </si>
  <si>
    <t>Loan</t>
  </si>
  <si>
    <t>Laen</t>
  </si>
  <si>
    <t>Grant</t>
  </si>
  <si>
    <t>Toetus</t>
  </si>
  <si>
    <t>Aportación de Capital Propio de los Socios</t>
  </si>
  <si>
    <t>Shareholders' Equity Contribution</t>
  </si>
  <si>
    <t>Aktsionäride Omakapitali Sissemakse</t>
  </si>
  <si>
    <t>Periodo de Recuperación de la Inversión Excl. Subv. (Años)</t>
  </si>
  <si>
    <t>Payback Period Excl. Grant (Years)</t>
  </si>
  <si>
    <t>Investeeringu Taastumise Periood v.a. Subv. (Aastad)</t>
  </si>
  <si>
    <t>Período de Recuperación do Investimento Excl. Subv. (Anos)</t>
  </si>
  <si>
    <t>Periodo de Recuperación de la Inversión (Años)</t>
  </si>
  <si>
    <t>Payback Period (Years)</t>
  </si>
  <si>
    <t>Investeeringu Taastumise Periood (Aastates)</t>
  </si>
  <si>
    <t>VAN Socios con Flujos de Financiación (ke 5%)</t>
  </si>
  <si>
    <t>NPV Partners with Funding Flows (ke 5%)</t>
  </si>
  <si>
    <t>Finantsvoogudega NPV Partnerid (ke 5%)</t>
  </si>
  <si>
    <t>TIR Modificada de los Socios</t>
  </si>
  <si>
    <t>Partners' Modified IRR</t>
  </si>
  <si>
    <t>Muudetud Partnerite IRR</t>
  </si>
  <si>
    <t>TIR Socios Incluyendo Flujos de Financiación</t>
  </si>
  <si>
    <t>IRR Partners Including Financing Cash Flows</t>
  </si>
  <si>
    <t>IRR-i partnerid, sealhulgas rahastamisvood</t>
  </si>
  <si>
    <t>TIR modificada proyecto</t>
  </si>
  <si>
    <t>Modified project IRR</t>
  </si>
  <si>
    <t>Projekti muudetud IRR</t>
  </si>
  <si>
    <t>TIR proyecto</t>
  </si>
  <si>
    <t>Project IRR</t>
  </si>
  <si>
    <t>Projekt IRR</t>
  </si>
  <si>
    <t>Rendimiento de la instalación y recursos financieros necesarios</t>
  </si>
  <si>
    <t>Performance of the installation and financial resources required</t>
  </si>
  <si>
    <t>Vajalik on rajatise jõudlus ja rahalised vahendid</t>
  </si>
  <si>
    <t>Valor Actual Flujo de Caja Proyecto</t>
  </si>
  <si>
    <t>Present Value Cash Flow Project</t>
  </si>
  <si>
    <t>Praeguse Väärtuse Rahavoo Projekt</t>
  </si>
  <si>
    <t>Valor Actual del Flujo de Caja</t>
  </si>
  <si>
    <t>Present Value of Cash Flow</t>
  </si>
  <si>
    <t>Rahavoo Praegune Väärtus</t>
  </si>
  <si>
    <t>Cash Flow de los Socios</t>
  </si>
  <si>
    <t>Cash Flow from Partners</t>
  </si>
  <si>
    <t>Partnerite Rahavoog</t>
  </si>
  <si>
    <t>Cash Flow proyecto [A+B]</t>
  </si>
  <si>
    <t>Project Cash Flow [A+B]</t>
  </si>
  <si>
    <t>Projekti Rahavoog [A+B]</t>
  </si>
  <si>
    <t>Free Cash Flow [A+B+C]</t>
  </si>
  <si>
    <t>Tasuta Rahavoog [A+B+C]</t>
  </si>
  <si>
    <t>(=) Flujo de Caja de las Actividades de Financiación (Recursos Propios y Deuda) [C]</t>
  </si>
  <si>
    <t>(=) Cash Flow from Financing Activities (Equity and Debt) [C]</t>
  </si>
  <si>
    <t>(=) Rahavoog Finantseerimistegevusest (Omavahendid ja Võlg) [C]</t>
  </si>
  <si>
    <t>(=) Fluxo de Caixa das Actividades de Financiamento (Recursos Propios e Débeda) [C]</t>
  </si>
  <si>
    <t>(-) Remuneration Payments for Equity Instruments (Dividends)</t>
  </si>
  <si>
    <t>(-) Aktsiainstrumentide Tasu Maksmine (Dividendid)</t>
  </si>
  <si>
    <t>(-) Pagos por Remuneración de Deuda (Intereses Préstamo)</t>
  </si>
  <si>
    <t>(-) Debt Remuneration Payments (Loan Interest)</t>
  </si>
  <si>
    <t>(-) Võlahüvitise Maksed (Laenuintress)</t>
  </si>
  <si>
    <t>(-) Pagos por Remuneración de Débeda (Intereses Préstamo)</t>
  </si>
  <si>
    <t>(-) Amortización de préstamo</t>
  </si>
  <si>
    <t>(-) Loan amortization</t>
  </si>
  <si>
    <t>(-) Laenu amortisatsioon</t>
  </si>
  <si>
    <t>(+) Concesión de Préstamo</t>
  </si>
  <si>
    <t>(+) Loan Concession</t>
  </si>
  <si>
    <t>(+) Laenutoetus</t>
  </si>
  <si>
    <t>(+) Subvenciones Recibidas</t>
  </si>
  <si>
    <t>(+) Grants Received</t>
  </si>
  <si>
    <t>(+) Saadud Toetused</t>
  </si>
  <si>
    <t>(+) Subvencións Recibidas</t>
  </si>
  <si>
    <t>(-) Amortización de Instrumentos de Patrimonio (Acciones o Participaciones)</t>
  </si>
  <si>
    <t>(-) Amortization of Equity Instruments (Shares or Participations)</t>
  </si>
  <si>
    <t>(-) Aktsiainstrumentide Amortisatsioon (Aktsiad või Osalused)</t>
  </si>
  <si>
    <t>(+) Emisión de Instrumentos de Patrimonio (Acciones o Participaciones)</t>
  </si>
  <si>
    <t>(+) Issuance of Equity Instruments (Shares or Participations)</t>
  </si>
  <si>
    <t>(+) Aktsiainstrumentide Emiteerimine (Aktsiad või Osalused)</t>
  </si>
  <si>
    <t>Flujo de Caja de las Actividades de Financiación (Recursos Propios y Deudas)</t>
  </si>
  <si>
    <t>Cash Flow from Financing Activities (Shareholders' Equity and Debt)</t>
  </si>
  <si>
    <t>Rahavoog Finantseerimistegevusest (Omavahendid ja Võlad)</t>
  </si>
  <si>
    <t>(=) Flujo de Caja de las Actividades de Inversión [B]</t>
  </si>
  <si>
    <t>(=) Cash Flow from Investing Activities [B]</t>
  </si>
  <si>
    <t>(=) Investeerimistegevuse Rahavoog [B]</t>
  </si>
  <si>
    <t>(+) Cobros por Desinversiones Efectuadas</t>
  </si>
  <si>
    <t>(+) Proceeds from Divestitures Made</t>
  </si>
  <si>
    <t>(+) Kollektsioonid Loovutamiseks</t>
  </si>
  <si>
    <t>(-) Pagos por Inversiones Efectuadas</t>
  </si>
  <si>
    <t>(-) Investment Payments Made</t>
  </si>
  <si>
    <t>(-) Maksed Tehtud Investeeringute Eest</t>
  </si>
  <si>
    <t>Flujo de Caja de las Actividades de Inversión</t>
  </si>
  <si>
    <t>Cash Flow from Investing Activities</t>
  </si>
  <si>
    <t>Investeerimistegevuse Rahavoog</t>
  </si>
  <si>
    <t>(=) Flujo de Caja Operativo o de las Actividades de Explotación [A]</t>
  </si>
  <si>
    <t>(=) Operating Cash Flow or Cash Flow from Operating Activities [A].</t>
  </si>
  <si>
    <t>(=) Äritegevuse Rahavoog või Äritegevused [A]</t>
  </si>
  <si>
    <t>(-) / (+) Otros Ingresos y Gastos que No Suponen Flujo de Efectivo</t>
  </si>
  <si>
    <t>(-) / (+) Other Non-Cash Revenues and Expenses</t>
  </si>
  <si>
    <t>(-) / (+) Muud Tulud ja Kulud, Mis Ei Ole Seotud Rahavoogudega</t>
  </si>
  <si>
    <t>(-) / (+) Outros Ingresos e Gastos que Non Supoñen Fluxo de Efectivo</t>
  </si>
  <si>
    <t>(+) Gastos Financieros (Intereses de la Deuda)</t>
  </si>
  <si>
    <t>(+) Financial Expenses (Interest on Debt)</t>
  </si>
  <si>
    <t>(+) Finantskulud (Võlaintressid)</t>
  </si>
  <si>
    <t>(+) Gastos Financeiros (Intereses da Débeda)</t>
  </si>
  <si>
    <t>(-) Ingresos Financieros</t>
  </si>
  <si>
    <t>(-) Financial Income</t>
  </si>
  <si>
    <t>(-) Finantstulu</t>
  </si>
  <si>
    <t>(-) Ingresos Financeiros</t>
  </si>
  <si>
    <t>(-) Imputación de Subvenciones en el Resultado del Ejercicio</t>
  </si>
  <si>
    <t>(-) Allocation of Grants to Profit or Loss for the Year</t>
  </si>
  <si>
    <t>(-) Subsiidiumide Eraldamine Eelarveaasta Tulemusel</t>
  </si>
  <si>
    <t>(-) Imputación de Subvencións no Resultado do Exercicio</t>
  </si>
  <si>
    <t>(+) Variación Neta del Capital Circulante (Estimado en 1 Mes de Gastos de Explotación)</t>
  </si>
  <si>
    <t>(+) Net Change in Working Capital (Estimated in 1 Month of Operating Expenses)</t>
  </si>
  <si>
    <t>(+) Käibekapitali Netomuutus (Hinnanguliselt 1 Kuu Tegevuskuludes)</t>
  </si>
  <si>
    <t>(+) Variación Neta do Capital Circulante (Estimado en 1 Mes de Gastos de Explotación)</t>
  </si>
  <si>
    <t xml:space="preserve">(+) Amortización de la Inversión </t>
  </si>
  <si>
    <t>(+) Amortization of the Investment</t>
  </si>
  <si>
    <t>(+) Investeeringute Amortisatsioon</t>
  </si>
  <si>
    <t>(+) Amortización do Investimento</t>
  </si>
  <si>
    <t>(-) Ingresos por Energía Autoconsumida y Compensada</t>
  </si>
  <si>
    <t>(-) Self-consumed and Compensated Energy Revenues</t>
  </si>
  <si>
    <t>(-) Tulu Omatarbimisest ja Kompenseeritud Energiast</t>
  </si>
  <si>
    <t>(-) Ingresos por Enerxía Autoconsumida e Compensada</t>
  </si>
  <si>
    <t>Resultado de Explotación</t>
  </si>
  <si>
    <t>Operating Result</t>
  </si>
  <si>
    <t>Ärakasutamise Tulemus</t>
  </si>
  <si>
    <t>Flujo de Caja Operativo</t>
  </si>
  <si>
    <t>Operating Cash Flow</t>
  </si>
  <si>
    <t>Äritegevuse Rahavoog</t>
  </si>
  <si>
    <t>Concepts</t>
  </si>
  <si>
    <t>Kontseptsioonid</t>
  </si>
  <si>
    <t>Flujos de Caja</t>
  </si>
  <si>
    <t>Cash Flows</t>
  </si>
  <si>
    <t>Sularahavood</t>
  </si>
  <si>
    <t>Resultado Neto Mensual Esperado para el Socio de su Pertenencia a la Iniciativa Energética Comunitaria (% s/ Factura Inicial)</t>
  </si>
  <si>
    <t>Expected Monthly Net Result of the Community Energy Initiative Membership for the Partner (% on Initial Invoice Amount)</t>
  </si>
  <si>
    <t>Ühenduse Energiaalgatuse Liikmelisuse Eeldatav Igakuine Metotulemus Partnerile (% Esialgsest Arve Summast)</t>
  </si>
  <si>
    <t>Resultado Neto Mensual Esperado para o Socio da súa Pertenza á Iniciativa Enerxética Comunitaria (% s/ Fatura Inicial)</t>
  </si>
  <si>
    <t>Resultado Neto Mensual Esperado para el Socio de su Pertenencia a la Iniciativa Energética Comunitaria (€)</t>
  </si>
  <si>
    <t>Expected Monthly Net Result of the Community Energy Initiative Membership for the Partner (€)</t>
  </si>
  <si>
    <t>Ühenduse Energiaalgatuse Liikmelisuse Eeldatav Igakuine Metotulemus Partnerile (€)</t>
  </si>
  <si>
    <t>Resultado Neto Mensual Esperado para o Socio da súa Pertenza á Iniciativa Enerxética Comunitaria (€)</t>
  </si>
  <si>
    <t>Total de Costes Soportados por el Socio al Mes, Derivados de su Pertenencia a la Iniciativa Energética Comunitaria (€)</t>
  </si>
  <si>
    <t>Total Monthly Costs Assumed by the Partner, Deriving from the Membership in the Community Energy Initiative (€)</t>
  </si>
  <si>
    <t>Partneri Kogukulud, Mis Tulenevad Ühenduse Energiaalgatuse Liikmestaatusest (€)</t>
  </si>
  <si>
    <t>Total de Custos Soportados polo Socio no Mes, Derivados da súa Pertenza á Iniciativa Enerxética Comunitaria (€)</t>
  </si>
  <si>
    <t>Otros Desembolsos Mensuales del Socio a Favor de la Entidad Gestora de la Iniciativa Energética Comunitaria -€/Mes-</t>
  </si>
  <si>
    <t>Other Monthly Amounts Paid by the Partner to the Community Energy Initiative Manager-Entity -€ per Month-</t>
  </si>
  <si>
    <t>Muud Igakuised Summad, Mida Partner Maksab Ühenduse Energiaalgatuse Haldaja-üksusele -€ Kuus-</t>
  </si>
  <si>
    <t>Outros Desembolsos Mensuais do Socio a Favor da Entidade Xestora da Iniciativa Enerxética Comunitaria -€/Mes-</t>
  </si>
  <si>
    <t>Cuota Mensual Ordinaria (Todos los Años) -€/Mes-</t>
  </si>
  <si>
    <t>Ordinary Monthly Membership Fee (All Years) -€ per Month-</t>
  </si>
  <si>
    <t>Tavaline Igakuine Liikmemaks (Kõik Aastad) -€ Kuus-</t>
  </si>
  <si>
    <t>Cuota Mensual Extraordinaria Primer Año -€/Mes-</t>
  </si>
  <si>
    <t>Extraordinary Monthly Membership Fee for the First Year -€ per Month-</t>
  </si>
  <si>
    <t>Erakorraline Igakuine Liikmemaks Esimesel Aastal -€ Kuus-</t>
  </si>
  <si>
    <t>Conjunto Completo de los Socios</t>
  </si>
  <si>
    <t>Complete Set of Partners</t>
  </si>
  <si>
    <t>Täielik Partnerite Komplekt</t>
  </si>
  <si>
    <t>Conxunto Completo dos Socios</t>
  </si>
  <si>
    <t>(Ahorro en la Factura e Ingresos por Compensación o Venta de la Energía Excedentaria)</t>
  </si>
  <si>
    <t>(Savings Achieved on the Electricity Invoice and Revenues from Excedentary Energy Compensation or Sale)</t>
  </si>
  <si>
    <t>(Elektriarvelt Saavutatud Sääst ja Ülemäärasest Energiakompensatsioonist või -Müügist Saadav Tulu)</t>
  </si>
  <si>
    <t>(Aforro na Fatura e Ingresos por Compensación ou Venda da Enerxía Excedentaria)</t>
  </si>
  <si>
    <t>Total Positive Economic Impact (Monthly)</t>
  </si>
  <si>
    <t>Kogu Positiivne Majanduslik Mõju (Igakuine)</t>
  </si>
  <si>
    <t>Número de Identificación do Socio</t>
  </si>
  <si>
    <t>Número de Identificación del Socio</t>
  </si>
  <si>
    <t>Partner ID Number</t>
  </si>
  <si>
    <t>Partner ID number</t>
  </si>
  <si>
    <t>TIR Modificada del Socio Individual (%)</t>
  </si>
  <si>
    <t>Individual Partner Modified IRR (%)</t>
  </si>
  <si>
    <t>Individuaalne Partner Muudetud IRR (%)</t>
  </si>
  <si>
    <t>TIR Modificada do Socio Individual (%)</t>
  </si>
  <si>
    <t>TIR del Socio Individual (%)</t>
  </si>
  <si>
    <t>Individual Partner IRR (%)</t>
  </si>
  <si>
    <t>Individuaalne Partner IRR (%)</t>
  </si>
  <si>
    <t>TIR do Socio Individual (%)</t>
  </si>
  <si>
    <t>Aportación Inicial del Socio a la Iniciativa Energética Comunitaria</t>
  </si>
  <si>
    <t>Initial Partner Contribution to the Community Energy Initiative</t>
  </si>
  <si>
    <t>Partnerite Esialgne Panus Ühenduse Energiaalgatusse</t>
  </si>
  <si>
    <t>Resultado Anual de la Participación del Socio Individual en la Iniciativa Energética Comunitaria</t>
  </si>
  <si>
    <t>Annual Result of the Membership of the Individual Partner in the Community Energy Initiative</t>
  </si>
  <si>
    <t>Iga-aastane Tulemus Ühenduse Energiaalgatuse Individuaalse Partneri Liikmelisusest</t>
  </si>
  <si>
    <t>Resultado Anual da Participación do Socio Individual na Iniciativa Enerxética Comunitaria</t>
  </si>
  <si>
    <t>(Celda en Color debe contener valor 0,00€; Color Verde)</t>
  </si>
  <si>
    <t>(Colour Cell must show 0.00€ value; Green Colour)</t>
  </si>
  <si>
    <t>(Värvilahter Peab Näitama Väärtust 0,00 €; Roheline Värv)</t>
  </si>
  <si>
    <t>(Cela en Cor debe conter valor 0,00€; Cor Verde)</t>
  </si>
  <si>
    <t>Comprobación de la Coherencia entre los Resultados Individual y Colectivo</t>
  </si>
  <si>
    <t>Verification of Coherence between Individual and Collective Results</t>
  </si>
  <si>
    <t>Individuaalsete ja Kollektiivsete Tulemuste Vahelise Sidususe Kontroll</t>
  </si>
  <si>
    <t>Comprobación da Coherencia entre os Resultados Individual e Colectivo</t>
  </si>
  <si>
    <t>TIR Modificada del Conjunto de los Socios (%)</t>
  </si>
  <si>
    <t>Modified IRR Complete Set of Partners (%)</t>
  </si>
  <si>
    <t>Muudetud IRR Täielik Partnerite Komplekt (%)</t>
  </si>
  <si>
    <t>TIR Modificada Conxunto dos Socios (%)</t>
  </si>
  <si>
    <t>TIR Conjunto de Socios (%)</t>
  </si>
  <si>
    <t>IRR Complete Set of Partners (%)</t>
  </si>
  <si>
    <t>Täieliku Partnerite Komplekti IRR</t>
  </si>
  <si>
    <t>TIR Conxunto dos Socios (%)</t>
  </si>
  <si>
    <t>Valor Actual Neto de los Flujos de Valor Económico Esperados</t>
  </si>
  <si>
    <t>Net Present Value of the Expected Flows of Economic Value</t>
  </si>
  <si>
    <t>Majandusliku Väärtuse Eeldatavate Voogude Nüüdispuhasväärtus</t>
  </si>
  <si>
    <t>Valor Actual Neto de los Flujos Positivos de Valor Económico</t>
  </si>
  <si>
    <t>Net Present Value of the Positive Flows of Economic Value</t>
  </si>
  <si>
    <t>Majandusväärtuse Positiivsete Voogude Nüüdispuhasväärtus</t>
  </si>
  <si>
    <t>Los datos de esta hoja se cumplimentan automáticamente, por lo que no procede su modificación manual.</t>
  </si>
  <si>
    <t>Data on this sheet are automatically filled-in. For this reason it would not be appropriate modifying them manually.</t>
  </si>
  <si>
    <t>Sellel lehel olevad andmed täidetakse automaatselt. Sel põhjusel ei oleks asjakohane neid käsitsi muuta.</t>
  </si>
  <si>
    <t>Os datos desta folla cumpliméntase automaticamente, polo que non procede a súa modificación manual.</t>
  </si>
  <si>
    <t>Importante:</t>
  </si>
  <si>
    <t>Important Notice:</t>
  </si>
  <si>
    <t>Tähtis Teade:</t>
  </si>
  <si>
    <t>Valor Actual del Resultado Anual de la Participación del Socio</t>
  </si>
  <si>
    <t>Present Value of the Annual Result of the Partner Membership</t>
  </si>
  <si>
    <t>Partnerliikmelisuse Iga-aastase Tulemuse Praegune Väärtus</t>
  </si>
  <si>
    <t>Resultado Anual de la Participación Colectiva de los Socios en la Iniciativa Energética Comunitaria</t>
  </si>
  <si>
    <t>Annual Result of the Collective Membership of Partners in the Community Energy Initiative</t>
  </si>
  <si>
    <t>Ühenduse Energiaalgatuse Partnerite Kollektiivse Liikmelisuse Iga-aastane Tulemus</t>
  </si>
  <si>
    <t>Resultado Anual da Participación Colectiva dos Socios na Iniciativa Enerxética Comunitaria</t>
  </si>
  <si>
    <t>Total Gastos Derivados de la Pertenencia a la Iniciativa Energética Comunitaria</t>
  </si>
  <si>
    <t>Total Expenses Deriving From Community Energy Initiative Membership</t>
  </si>
  <si>
    <t>Kogukulud, Mis Tulenevad Ühenduse Energiaalgatuse Liikmelisusest</t>
  </si>
  <si>
    <t>Total Gastos Derivados da Pertenza á Iniciativa Enerxética Comunitaria</t>
  </si>
  <si>
    <t>Cargos por Prestación de Servicios Complementarios a los Socios</t>
  </si>
  <si>
    <t>Charges for Complementary Services Provision to Partners</t>
  </si>
  <si>
    <t>Tasud Partneritele Täiendavate Teenuste Osutamise Eest</t>
  </si>
  <si>
    <t>Cargos por Prestación de Servizos Complementarios aos Socios</t>
  </si>
  <si>
    <t>Cuota Extraordinaria Inicial (Sólo en el Primer Año</t>
  </si>
  <si>
    <t>Extraordinary Initial Membership Fee (Only for the First Year)</t>
  </si>
  <si>
    <t>Erakorraline Esialgne Liikmemaks (Ainult Esimesel Aastal)</t>
  </si>
  <si>
    <t>Cota Extraordinaria Inicial (Só Primeiro Ano)</t>
  </si>
  <si>
    <t>Conjunto del Proyecto</t>
  </si>
  <si>
    <t>Project Lifetime</t>
  </si>
  <si>
    <t>Projektikomplekt</t>
  </si>
  <si>
    <t>Conxunto do Proxecto</t>
  </si>
  <si>
    <t>Kogusumma</t>
  </si>
  <si>
    <t>Total Ingresos Derivados de la Pertenencia a la Iniciativa Energética Comunitaria</t>
  </si>
  <si>
    <t>Total Revenues Derived from the Community Energy Initiative Membership</t>
  </si>
  <si>
    <t>Kogutulu, Mis Saadakse Ühenduse Energiaalgatuse Liikmelisusest</t>
  </si>
  <si>
    <t>Total Ingresos Derivados da Pertenza á Iniciativa Enerxética Comunitaria</t>
  </si>
  <si>
    <t>Ingresos por Energía Excedentaria Vendida</t>
  </si>
  <si>
    <t>Revenues from Excedentary Energy Sold</t>
  </si>
  <si>
    <t>Tulu Müüdud Energia Ülejäägist</t>
  </si>
  <si>
    <t>Ingresos por Energía Excedentaria Sujeta a Compensación</t>
  </si>
  <si>
    <t>Revenues from Excedentary Energy Subject to Energy Compensation</t>
  </si>
  <si>
    <t>Tulud Ülemäärasest Energiast, Mille Suhtes Kohaldatakse Energiakompensatsiooni</t>
  </si>
  <si>
    <t>Ingresos por Energía Autoconsumida</t>
  </si>
  <si>
    <t>Revenues from Self-Consumed Energy</t>
  </si>
  <si>
    <t>Tulud Omatarbest Energiast</t>
  </si>
  <si>
    <t>Cuota Mínima Ajustada por Impacto Fiscal a satisfacer por el Socio Tipo (Consumo = 294,41 KWh al Mes)</t>
  </si>
  <si>
    <t>Minimum Membership Fee, Adjusted for the Fiscal Impact, to be satisfied by the Typical Partner (Consumption = 294,41 KWh per Month)</t>
  </si>
  <si>
    <t>Minimaalne Liikmemaks, Mis on Kohandatud Fiskaalmõjuga, Mille Peab Tasuma Tavapartner (Tarbimine = 294,41 KWh Kuus)</t>
  </si>
  <si>
    <t>Cuotas de Socios Ajustadas por Impacto Fiscal en el Año Inicial</t>
  </si>
  <si>
    <t>Adjusted Monthly Membership Fees in the Initial Year</t>
  </si>
  <si>
    <t>Korrigeeritud Igakuised Liikmemaksud Algaastal</t>
  </si>
  <si>
    <t>Cuota de Socio Mensual Ajustada</t>
  </si>
  <si>
    <t>Adjusted Monthly Membership Fee</t>
  </si>
  <si>
    <t>Korrigeeritud Igakuine Liikmemaks</t>
  </si>
  <si>
    <t>Cota de Socio Mensual Axustada</t>
  </si>
  <si>
    <t>Cuota Tributaria</t>
  </si>
  <si>
    <t>Tax Amount Payable</t>
  </si>
  <si>
    <t>Maksmisele Kuuluv Maksusumma</t>
  </si>
  <si>
    <t>Cota Tributaria</t>
  </si>
  <si>
    <t>Cálculo de la Incidencia del Impacto Fiscal sobre el Valor de las Cuotas de Socio</t>
  </si>
  <si>
    <t>Calculation of the Incidence of the Tax Impact on the Value of Membership Fees</t>
  </si>
  <si>
    <t>Liikmemaksude Väärtusele Avaldatava Maksumõju Arvutamine</t>
  </si>
  <si>
    <t>Cuota Mínima a satisfacer por el Socio Tipo (Consumo = 294,41 KWh al Mes)</t>
  </si>
  <si>
    <t>Minimum Membership Fee to be satisfied by the Typical Partner (Consumption = 294,41 KWh per Month)</t>
  </si>
  <si>
    <t>Minimaalne Liikmemaks, Mille Peab Tasuma Tavapartner (Tarbimine = 294,41 kWh Kuus)</t>
  </si>
  <si>
    <t>Cuotas de Socios en el Año Inicial</t>
  </si>
  <si>
    <t>Initial Year Membership Fees</t>
  </si>
  <si>
    <t>Algaasta Liikmemaksud</t>
  </si>
  <si>
    <t>Determinación de la Cuota Promedio Necesaria para la Cobertura de Costes:</t>
  </si>
  <si>
    <t>Determination of the Average Fee Necessary for Cost Coverage:</t>
  </si>
  <si>
    <t>Kulude Katmiseks Vajaliku Keskmise Tasu Määramine:</t>
  </si>
  <si>
    <t>Superávit (+) o Déficit (-)</t>
  </si>
  <si>
    <t>Surplus (+) or Deficit (-)</t>
  </si>
  <si>
    <t>Ülejääk (+) või Puudujääk (-)</t>
  </si>
  <si>
    <t>Suma de Costes</t>
  </si>
  <si>
    <t>Sum of Costs</t>
  </si>
  <si>
    <t>Kulude Summa</t>
  </si>
  <si>
    <t>Total Computable Monetary Income</t>
  </si>
  <si>
    <t>kogu Arvutatav Rahaline Sissetulek</t>
  </si>
  <si>
    <t>Suma de Otros Ingresos Monetarios (Imputación Subvención)</t>
  </si>
  <si>
    <t>Sum of Other Monetary Income (Grant Annual Attribution)</t>
  </si>
  <si>
    <t>Muu Rahalise Sissetuleku Summa (Toetuse Aastane Omistamine)</t>
  </si>
  <si>
    <t>Suma de Outros Ingresos Monetarios (Imputación Subvención)</t>
  </si>
  <si>
    <t>Suma de Ingresos Monetarios (Cuotas)</t>
  </si>
  <si>
    <t>Sum of Monetary Income (Membership Fees)</t>
  </si>
  <si>
    <t>Rahalise Sissetuleku Summa (Liikmemaksud)</t>
  </si>
  <si>
    <t>Resumen de la Cuenta de Resultados:</t>
  </si>
  <si>
    <t>Results Account Summary:</t>
  </si>
  <si>
    <t>Tulemused Konto Kokkuvõte:</t>
  </si>
  <si>
    <t>Resultado Neto</t>
  </si>
  <si>
    <t>Net Result</t>
  </si>
  <si>
    <t>Netotulemus</t>
  </si>
  <si>
    <t>Impuesto sobre Sociedades (IS)</t>
  </si>
  <si>
    <t>Corporate Income Tax</t>
  </si>
  <si>
    <t>Ettevõtte Tulumaks</t>
  </si>
  <si>
    <t>Imposto sobre Sociedades (IS)</t>
  </si>
  <si>
    <t>Resultado Antes de Impuestos</t>
  </si>
  <si>
    <t>Earnings Before Taxes</t>
  </si>
  <si>
    <t>Kasum Enne Makse</t>
  </si>
  <si>
    <t>Resultado Antes de Impostos</t>
  </si>
  <si>
    <t>Gastos Financieros</t>
  </si>
  <si>
    <t>Financial Expenses</t>
  </si>
  <si>
    <t>Rahalised Kulud</t>
  </si>
  <si>
    <t>Gastos Financeiros</t>
  </si>
  <si>
    <t>Ingresos Financieros</t>
  </si>
  <si>
    <t>Financial Income</t>
  </si>
  <si>
    <t>Finantstulu</t>
  </si>
  <si>
    <t>Ingresos Financeiros</t>
  </si>
  <si>
    <t>EBIT (Beneficio Antes de Intereses e Impuestos)</t>
  </si>
  <si>
    <t>EBIT (Earnings Before Interests and Taxes)</t>
  </si>
  <si>
    <t>EBIT (Kasum Enne Intresse ja Makse)</t>
  </si>
  <si>
    <t>Amortización do Investimento</t>
  </si>
  <si>
    <t xml:space="preserve">Amortización de la Inversión </t>
  </si>
  <si>
    <t>Amortization of the Investment</t>
  </si>
  <si>
    <t>Investeeringute Amortisatsioon</t>
  </si>
  <si>
    <t>EBITDA (Beneficio Antes de Interes, Impuestos, Depreciaciones y Amotizaciones)</t>
  </si>
  <si>
    <t>EBITDA (Earnings Before Interests, Taxes, Depreciations and Amortizations)</t>
  </si>
  <si>
    <t>EBITDA (Kasum Enne Intresse, Makse, Kulumit ja Amortisatsioone)</t>
  </si>
  <si>
    <t>Total Gastos de Explotación</t>
  </si>
  <si>
    <t>Total Operating Expenses</t>
  </si>
  <si>
    <t>Tegevuskulud Kokku</t>
  </si>
  <si>
    <t>Otros Tributos (Distintos del IS o del IVA)</t>
  </si>
  <si>
    <t>Other Taxes (Different from the Corporate Income Tax or the Value Added Tax)</t>
  </si>
  <si>
    <t>Muud Maksud (Erinevad Ettevõtte Tulumaksust või Käibemaksust)</t>
  </si>
  <si>
    <t>Gastos en Servicios Exteriores</t>
  </si>
  <si>
    <t>External Services Expenses</t>
  </si>
  <si>
    <t>Väliskulud</t>
  </si>
  <si>
    <t>Otros Servicios</t>
  </si>
  <si>
    <t>Other Services</t>
  </si>
  <si>
    <t>Muud Teenused</t>
  </si>
  <si>
    <t>Primas de Seguros</t>
  </si>
  <si>
    <t>Insurance Premiums</t>
  </si>
  <si>
    <t>Kindlustusmaksed</t>
  </si>
  <si>
    <t>Gastos de Persoal</t>
  </si>
  <si>
    <t>Gastos de Personal</t>
  </si>
  <si>
    <t>Human Resources Expenses</t>
  </si>
  <si>
    <t>Personalikulud</t>
  </si>
  <si>
    <t>Compras de Materiales y Servicios</t>
  </si>
  <si>
    <t>Materials and Services Purchases</t>
  </si>
  <si>
    <t>Materjalide ja Teenuste Ostud</t>
  </si>
  <si>
    <t>Total Operating Income</t>
  </si>
  <si>
    <t>Tegevustulu Kokku</t>
  </si>
  <si>
    <t>Subvenciones de Capital Transferidas al Resultado del Ejercicio (Imputación Anual)</t>
  </si>
  <si>
    <t>Capital Grants Transferred to the Financial Year Result (Annual Attribution)</t>
  </si>
  <si>
    <t>Majandusaasta Tulemusele Üle Kantud Kapitalitoetused (Iga-aastane Omistamine)</t>
  </si>
  <si>
    <t>Subvencións de Capital Transferidas ao Resultado do Exercicio (Imputación Anual)</t>
  </si>
  <si>
    <t>Total Ingresos por Cuotas de Socios y Otros Servicios Complementarios</t>
  </si>
  <si>
    <t>Total Income from Membership Fees and Other Complementary Services</t>
  </si>
  <si>
    <t>Kogutulu Liikmemaksudest ja Muudest Täiendavatest Teenustest</t>
  </si>
  <si>
    <t>Ingresos por Prestación de Otros Servicios Complementarios a los Socios</t>
  </si>
  <si>
    <t>Income Deriving from Other Complementary Services provided to the Partners</t>
  </si>
  <si>
    <t>Sissetulekud Muudest Partneritele Pakutavatest Täiendavatest Teenustest</t>
  </si>
  <si>
    <t>Cuotas de Socios</t>
  </si>
  <si>
    <t>Membership Fees</t>
  </si>
  <si>
    <t>Liikmemaksud</t>
  </si>
  <si>
    <t>Ingresos Totales por la Energía Producida</t>
  </si>
  <si>
    <t>Total Income from Energy Produced</t>
  </si>
  <si>
    <t>Kogutulu Toodetud Energiast</t>
  </si>
  <si>
    <t>Vida Completa del Proyecto</t>
  </si>
  <si>
    <t>Complete Project Lifetime</t>
  </si>
  <si>
    <t>Kogu Projekti Eluiga</t>
  </si>
  <si>
    <t>Cummulative Values (Sum)</t>
  </si>
  <si>
    <t>Kumulatiivsed Väärtused (Summa)</t>
  </si>
  <si>
    <t>Ref. 1</t>
  </si>
  <si>
    <t>Viide 1</t>
  </si>
  <si>
    <t>Hipótesis de Partida</t>
  </si>
  <si>
    <t>Starting Hypotheses</t>
  </si>
  <si>
    <t>Hüpoteese Alustades</t>
  </si>
  <si>
    <t>Hipóteses de Partida</t>
  </si>
  <si>
    <t>EXPENSES</t>
  </si>
  <si>
    <t>KULUD</t>
  </si>
  <si>
    <t>INGRESOS</t>
  </si>
  <si>
    <t>INCOME</t>
  </si>
  <si>
    <t>TULUD</t>
  </si>
  <si>
    <t>Conta de Explotación</t>
  </si>
  <si>
    <t>Cuenta de Explotación</t>
  </si>
  <si>
    <t>Operating Account</t>
  </si>
  <si>
    <t>Kauplemiskonto</t>
  </si>
  <si>
    <t>Efecto Económico Neto Total (% s/ Importe da súa Fatura Orixinal)</t>
  </si>
  <si>
    <t>Efecto Económico Neto Total (% s/ Importe de su Factura Original)</t>
  </si>
  <si>
    <t>Total Net Economic Effect (% On the Partner Original Invoice Amount)</t>
  </si>
  <si>
    <t>Netomajanduslik Mõju Kokku (% Partneri Algse Arve Summast)</t>
  </si>
  <si>
    <t>(=) Efecto Económico Neto Total para el Socio (Positivo - Negativo)</t>
  </si>
  <si>
    <t>(=) Total Net Economic Effect for the Partner (Positive - Negative)</t>
  </si>
  <si>
    <t>(=) Kogu Netomajanduslik Mõju Partnerile (Positiivne – Negatiivne)</t>
  </si>
  <si>
    <t>(-) Efecto Económico Negativo Total para el Socio (Cuotas Pagadas a la Entidad)</t>
  </si>
  <si>
    <t>(-) Total Negative Economic Effect for the Partner (Fees Paid to the Entity)</t>
  </si>
  <si>
    <t>(-) Kogu Negatiivne Majanduslik Mõju Partnerile (Üksusele Makstud Tasud)</t>
  </si>
  <si>
    <t>(+) Efecto Económico Positivo Total para o Socio (Menor Importe a Pagar en Fatura + Importe Obtido pola Enerxía Destinada á Compensación ou Venda)</t>
  </si>
  <si>
    <t>(+) Efecto Económico Positivo Total para el Socio (Menor Importe a Pagar en Factura + Importe Obtenido por la Energía Destinada a Compensación o Vendida)</t>
  </si>
  <si>
    <t>(+) Total Positive Economic Effect for the Partner (Lower Invoice Amount to Pay + Positive Amount Obtained for the Energy Subject to Compensation or Sold)</t>
  </si>
  <si>
    <t>(+) Positiivne Majanduslik Mõju Partnerile Kokku (Väiksem Tasumisele Kuuluv Arve Summa + Kompenseeritava või Müüdud Energia Eest Saadud Positiivne Summa)</t>
  </si>
  <si>
    <t>Annual</t>
  </si>
  <si>
    <t>Iga-aastane</t>
  </si>
  <si>
    <t>Monthly</t>
  </si>
  <si>
    <t>Kuu-</t>
  </si>
  <si>
    <t>Consumo Mensual del Consumidor Tipo (KWh/Mes)</t>
  </si>
  <si>
    <t>Monthly Consumption of the Typical Consumer (KWh/Month)</t>
  </si>
  <si>
    <t>Tavatarbija Igakuine Tarbimine (KWh/Kuus)</t>
  </si>
  <si>
    <t>(Se considera un mes tipo, para un consumidor tipo)</t>
  </si>
  <si>
    <t>(A typical month and a typical consumer are considered)</t>
  </si>
  <si>
    <t>(Arvestatakse Tüüpilist Kuud ja Tüüpilist Tarbijat)</t>
  </si>
  <si>
    <t>Determinación del Efecto Económico Neto para el Socio de su Pertenencia a la Iniciativa Energética Comunitaria</t>
  </si>
  <si>
    <t>Determination of the Net Economic Effect for the Partner of Membership in the Community Energy Initiative</t>
  </si>
  <si>
    <t>Majandusliku Netomõju Määramine Ühenduse Energiaalgatuse Partnerile</t>
  </si>
  <si>
    <t>Efecto Económico Positivo Total para el Socio</t>
  </si>
  <si>
    <t>Total Positive Economic Effect for the Partner</t>
  </si>
  <si>
    <t>Täielik Positiivne Majanduslik Mõju Partnerile</t>
  </si>
  <si>
    <t>Exceso do Importe a Aboar sobre o Importe da Fatura</t>
  </si>
  <si>
    <t>Exceso del Importe a Abonar sobre el Importe de la Factura</t>
  </si>
  <si>
    <t>Excess of the Amount to Pay over the Invoice Amount</t>
  </si>
  <si>
    <t>Tasumisele Kuuluva Summa Ülejääk Arve Summa Suhtes</t>
  </si>
  <si>
    <t>Novo Importe A Pagar (Importe da Fatura - Importe a Aboar por Compensación ou Venda de Enerxía)</t>
  </si>
  <si>
    <t>Nuevo Importe a Pagar (Importe de la Factura - Importe a Abonar por Compensación o Venta de Energía)</t>
  </si>
  <si>
    <t>New Amount to Pay (Invoice Amount - Energy Compensation or Sale Amount)</t>
  </si>
  <si>
    <t>Uus Makstav Summa (Arve Summa - Energiakompensatsioon või Müügisumma)</t>
  </si>
  <si>
    <t>Importe a Aboar ao Prosumidor por Compensación ou Venda de Enerxía</t>
  </si>
  <si>
    <t>Importe a Abonar al Prosumidor por Compensación o Venta de Energía</t>
  </si>
  <si>
    <t>Amount to Pay to the Prosumer for the Energy Compensation or the Energy Sale</t>
  </si>
  <si>
    <t>Partnerile Energiakompensatsiooni või Energiamüügi Eest Makstav Summa</t>
  </si>
  <si>
    <t>Valor de la Energía Vendida Transmitida a la Comercializadora</t>
  </si>
  <si>
    <t>Value of the Energy Sold Transmitted to the Energy Marketer</t>
  </si>
  <si>
    <t>Müüdud Energia Väärtus Edastatakse Energiaturundajale</t>
  </si>
  <si>
    <t>Valor de la Energía Sujeta a Compensación Transmitida a la Comercializadora</t>
  </si>
  <si>
    <t>Value of the Energy Subject to Compensation Transmitted to the Energy Marketer</t>
  </si>
  <si>
    <t>Energiaturundajale Edastatud Hüvitamisele Kuuluva Energia Väärtus</t>
  </si>
  <si>
    <t>Compensaciones</t>
  </si>
  <si>
    <t>Energy Compensations</t>
  </si>
  <si>
    <t>Energiakompensatsioonid</t>
  </si>
  <si>
    <t>Importe Total da Fatura (Base Impoñible + Cota de IVE)</t>
  </si>
  <si>
    <t>Importe Total de la Factura (Base Imponible + Cuota del IVA)</t>
  </si>
  <si>
    <t>Total Invoice Amount (VAT Tax Base + VAT Ammount Payable)</t>
  </si>
  <si>
    <t>Arve Kogusumma (Käibemaksubaas + Käibemaksumäär)</t>
  </si>
  <si>
    <t>IVA (Tipo Reducido Temporalmente)</t>
  </si>
  <si>
    <t>VAT (Temporary Reduced Tax Rate)</t>
  </si>
  <si>
    <t>Käibemaks (Ajutine Vähendatud Maksumäär)</t>
  </si>
  <si>
    <t>Base Imponible del IVA (Suma de los Conceptos Previos)</t>
  </si>
  <si>
    <t>VAT Tax Base (Sum of Previous Concepts)</t>
  </si>
  <si>
    <t>Käibemaksu Maksubaas (Eelmiste Mõistete Summa)</t>
  </si>
  <si>
    <t>Subtotal (Suma de los Conceptos Previos)</t>
  </si>
  <si>
    <t>Subtotal (Sum of Previous Concepts)</t>
  </si>
  <si>
    <t xml:space="preserve">Vahesumma </t>
  </si>
  <si>
    <t>Término de Energía (Consumo)</t>
  </si>
  <si>
    <t>Energy Term (Consumption)</t>
  </si>
  <si>
    <t>Energiamõiste (Tarbimine)</t>
  </si>
  <si>
    <t>Diferenza Porcentual sobre o Importe Inicial da Fatura (%)</t>
  </si>
  <si>
    <t>Diferencia Porcentual sobre el Importe Inicial de la Factura (%)</t>
  </si>
  <si>
    <t>Difference as a Proporcion On Initial Invoice Total Amount (%)</t>
  </si>
  <si>
    <t>Erinevus Proportsioonina Esialgse Arve Kogusummast (%)</t>
  </si>
  <si>
    <t>Diferenza (%)</t>
  </si>
  <si>
    <t>Diferencia (%)</t>
  </si>
  <si>
    <t>Difference (%)</t>
  </si>
  <si>
    <t>Erinevus (%)</t>
  </si>
  <si>
    <t>Diferenza</t>
  </si>
  <si>
    <t>Difference</t>
  </si>
  <si>
    <t>Erinevus</t>
  </si>
  <si>
    <t>Con Iniciativa Enerxética Comunitaria (€)</t>
  </si>
  <si>
    <t>Con Iniciativa Energética Comunitaria (€)</t>
  </si>
  <si>
    <t>With a Community Energy Initiative (€)</t>
  </si>
  <si>
    <t>Kogukondliku Energiaalgatusega</t>
  </si>
  <si>
    <t>Sen Iniciativa Enerxética Comunitaria (€)</t>
  </si>
  <si>
    <t>Sin Iniciativa Energética Comunitaria (€)</t>
  </si>
  <si>
    <t>Without a Community Energy Initiative (€)</t>
  </si>
  <si>
    <t>Ilma Kogukonna Energiaalgatuseta</t>
  </si>
  <si>
    <t>Concepto Facturado</t>
  </si>
  <si>
    <t>Invoiced Concept</t>
  </si>
  <si>
    <t>Arveldatud Kontseptsioon</t>
  </si>
  <si>
    <t>Advertising, Propaganda &amp; Public Relations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</si>
</sst>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8">
    <numFmt numFmtId="8" formatCode="#,##0.00\ &quot;€&quot;;[Red]\-#,##0.00\ &quot;€&quot;"/>
    <numFmt numFmtId="44" formatCode="_-* #,##0.00\ &quot;€&quot;_-;\-* #,##0.00\ &quot;€&quot;_-;_-* &quot;-&quot;??\ &quot;€&quot;_-;_-@_-"/>
    <numFmt numFmtId="43" formatCode="_-* #,##0.00_-;\-* #,##0.00_-;_-* &quot;-&quot;??_-;_-@_-"/>
    <numFmt numFmtId="164" formatCode="_-* #,##0.00\ _€_-;\-* #,##0.00\ _€_-;_-* &quot;-&quot;??\ _€_-;_-@_-"/>
    <numFmt numFmtId="165" formatCode="_-* #,##0\ &quot;€&quot;_-;\-* #,##0\ &quot;€&quot;_-;_-* &quot;-&quot;??\ &quot;€&quot;_-;_-@_-"/>
    <numFmt numFmtId="166" formatCode="_-* #,##0\ _€_-;\-* #,##0\ _€_-;_-* &quot;-&quot;??\ _€_-;_-@_-"/>
    <numFmt numFmtId="167" formatCode="_-* #,##0.0000_-;\-* #,##0.0000_-;_-* &quot;-&quot;??_-;_-@_-"/>
    <numFmt numFmtId="168" formatCode="0.0000"/>
    <numFmt numFmtId="169" formatCode="#,##0.00_ ;\-#,##0.00\ "/>
    <numFmt numFmtId="170" formatCode="0.0%"/>
    <numFmt numFmtId="171" formatCode="#,##0;\-#,##0;\-\-"/>
    <numFmt numFmtId="172" formatCode="#,##0.00_ ;[Red]\-#,##0.00\ "/>
    <numFmt numFmtId="173" formatCode="#,##0_ ;[Red]\-#,##0\ "/>
    <numFmt numFmtId="174" formatCode="#,##0.0_ ;[Red]\-#,##0.0\ "/>
    <numFmt numFmtId="175" formatCode="#,##0.00000_ ;[Red]\-#,##0.00000\ "/>
    <numFmt numFmtId="176" formatCode="#,##0.00\ &quot;€&quot;"/>
    <numFmt numFmtId="177" formatCode="_-* #,##0.000\ &quot;€&quot;_-;\-* #,##0.000\ &quot;€&quot;_-;_-* &quot;-&quot;??\ &quot;€&quot;_-;_-@_-"/>
    <numFmt numFmtId="178" formatCode="_-* #,##0.0000\ &quot;€&quot;_-;\-* #,##0.0000\ &quot;€&quot;_-;_-* &quot;-&quot;??\ &quot;€&quot;_-;_-@_-"/>
  </numFmts>
  <fonts count="7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10"/>
      <name val="Calibri"/>
      <family val="2"/>
      <scheme val="minor"/>
    </font>
    <font>
      <b/>
      <sz val="16"/>
      <color rgb="FF011C2C"/>
      <name val="Calibri"/>
      <family val="2"/>
      <scheme val="minor"/>
    </font>
    <font>
      <b/>
      <sz val="10"/>
      <color rgb="FF011C2C"/>
      <name val="Calibri"/>
      <family val="2"/>
      <scheme val="minor"/>
    </font>
    <font>
      <b/>
      <sz val="10"/>
      <color indexed="9"/>
      <name val="Calibri"/>
      <family val="2"/>
      <scheme val="minor"/>
    </font>
    <font>
      <sz val="10"/>
      <color indexed="9"/>
      <name val="Calibri"/>
      <family val="2"/>
      <scheme val="minor"/>
    </font>
    <font>
      <sz val="10"/>
      <color indexed="12"/>
      <name val="Calibri"/>
      <family val="2"/>
      <scheme val="minor"/>
    </font>
    <font>
      <sz val="10"/>
      <color rgb="FF0000FF"/>
      <name val="Calibri"/>
      <family val="2"/>
      <scheme val="minor"/>
    </font>
    <font>
      <b/>
      <sz val="10"/>
      <name val="Calibri"/>
      <family val="2"/>
      <scheme val="minor"/>
    </font>
    <font>
      <b/>
      <sz val="10"/>
      <color indexed="12"/>
      <name val="Calibri"/>
      <family val="2"/>
      <scheme val="minor"/>
    </font>
    <font>
      <sz val="10"/>
      <color rgb="FFFF0000"/>
      <name val="Calibri"/>
      <family val="2"/>
      <scheme val="minor"/>
    </font>
    <font>
      <sz val="11"/>
      <name val="Calibri"/>
      <family val="2"/>
      <scheme val="minor"/>
    </font>
    <font>
      <sz val="11"/>
      <color theme="5"/>
      <name val="Calibri"/>
      <family val="2"/>
      <scheme val="minor"/>
    </font>
    <font>
      <b/>
      <i/>
      <sz val="11"/>
      <color theme="1"/>
      <name val="Calibri"/>
      <family val="2"/>
      <scheme val="minor"/>
    </font>
    <font>
      <b/>
      <i/>
      <sz val="10"/>
      <name val="Calibri"/>
      <family val="2"/>
      <scheme val="minor"/>
    </font>
    <font>
      <b/>
      <sz val="11"/>
      <color rgb="FF0000FF"/>
      <name val="Calibri"/>
      <family val="2"/>
      <scheme val="minor"/>
    </font>
    <font>
      <b/>
      <sz val="8"/>
      <color indexed="9"/>
      <name val="Calibri"/>
      <family val="2"/>
      <scheme val="minor"/>
    </font>
    <font>
      <b/>
      <sz val="9"/>
      <color indexed="81"/>
      <name val="Tahoma"/>
      <family val="2"/>
    </font>
    <font>
      <sz val="9"/>
      <color indexed="81"/>
      <name val="Tahoma"/>
      <family val="2"/>
    </font>
    <font>
      <i/>
      <sz val="11"/>
      <color theme="1"/>
      <name val="Calibri"/>
      <family val="2"/>
      <scheme val="minor"/>
    </font>
    <font>
      <b/>
      <sz val="11"/>
      <name val="Calibri"/>
      <family val="2"/>
      <scheme val="minor"/>
    </font>
    <font>
      <b/>
      <u/>
      <sz val="11"/>
      <color theme="1"/>
      <name val="Calibri"/>
      <family val="2"/>
      <scheme val="minor"/>
    </font>
    <font>
      <u/>
      <sz val="9"/>
      <color indexed="81"/>
      <name val="Tahoma"/>
      <family val="2"/>
    </font>
    <font>
      <sz val="11"/>
      <color rgb="FF0000FF"/>
      <name val="Calibri"/>
      <family val="2"/>
      <scheme val="minor"/>
    </font>
    <font>
      <b/>
      <i/>
      <sz val="11"/>
      <color rgb="FF0000FF"/>
      <name val="Calibri"/>
      <family val="2"/>
      <scheme val="minor"/>
    </font>
    <font>
      <i/>
      <sz val="11"/>
      <color rgb="FF0000FF"/>
      <name val="Calibri"/>
      <family val="2"/>
      <scheme val="minor"/>
    </font>
    <font>
      <b/>
      <sz val="11"/>
      <color theme="4" tint="-0.249977111117893"/>
      <name val="Calibri"/>
      <family val="2"/>
      <scheme val="minor"/>
    </font>
    <font>
      <b/>
      <sz val="11"/>
      <color theme="0"/>
      <name val="Calibri"/>
      <family val="2"/>
      <scheme val="minor"/>
    </font>
    <font>
      <sz val="11"/>
      <color rgb="FF000000"/>
      <name val="Aptos Narrow"/>
      <family val="2"/>
    </font>
    <font>
      <sz val="10"/>
      <color theme="1"/>
      <name val="Calibri"/>
      <family val="2"/>
      <scheme val="minor"/>
    </font>
    <font>
      <b/>
      <sz val="10"/>
      <color rgb="FF0000FF"/>
      <name val="Calibri"/>
      <family val="2"/>
      <scheme val="minor"/>
    </font>
    <font>
      <b/>
      <sz val="10"/>
      <color theme="9" tint="-0.249977111117893"/>
      <name val="Calibri"/>
      <family val="2"/>
      <scheme val="minor"/>
    </font>
    <font>
      <sz val="8"/>
      <name val="Calibri"/>
      <family val="2"/>
      <scheme val="minor"/>
    </font>
    <font>
      <sz val="10"/>
      <color rgb="FF00B050"/>
      <name val="Calibri"/>
      <family val="2"/>
      <scheme val="minor"/>
    </font>
    <font>
      <b/>
      <sz val="10"/>
      <color rgb="FF00B050"/>
      <name val="Calibri"/>
      <family val="2"/>
      <scheme val="minor"/>
    </font>
    <font>
      <b/>
      <sz val="11"/>
      <color rgb="FF00B050"/>
      <name val="Calibri"/>
      <family val="2"/>
      <scheme val="minor"/>
    </font>
    <font>
      <sz val="11"/>
      <color rgb="FF00B050"/>
      <name val="Calibri"/>
      <family val="2"/>
      <scheme val="minor"/>
    </font>
    <font>
      <i/>
      <sz val="11"/>
      <color rgb="FF00B050"/>
      <name val="Calibri"/>
      <family val="2"/>
      <scheme val="minor"/>
    </font>
    <font>
      <b/>
      <i/>
      <sz val="11"/>
      <color rgb="FF00B050"/>
      <name val="Calibri"/>
      <family val="2"/>
      <scheme val="minor"/>
    </font>
    <font>
      <sz val="11"/>
      <name val="Aptos Narrow"/>
      <family val="2"/>
    </font>
    <font>
      <sz val="11"/>
      <name val="Aptos Narrow"/>
      <family val="2"/>
      <charset val="1"/>
    </font>
    <font>
      <sz val="11"/>
      <color theme="1"/>
      <name val="Calibri"/>
      <family val="2"/>
    </font>
    <font>
      <sz val="14"/>
      <name val="Calibri"/>
      <family val="2"/>
      <scheme val="minor"/>
    </font>
    <font>
      <b/>
      <sz val="20"/>
      <color rgb="FF011C2C"/>
      <name val="Calibri"/>
      <family val="2"/>
      <scheme val="minor"/>
    </font>
    <font>
      <b/>
      <u/>
      <sz val="10"/>
      <color rgb="FFFFFFFF"/>
      <name val="Calibri"/>
      <family val="2"/>
      <scheme val="minor"/>
    </font>
    <font>
      <sz val="10"/>
      <color rgb="FF00B050"/>
      <name val="Calibri"/>
      <family val="2"/>
    </font>
    <font>
      <b/>
      <sz val="10"/>
      <color rgb="FFFFFFFF"/>
      <name val="Calibri"/>
      <family val="2"/>
    </font>
    <font>
      <b/>
      <u/>
      <sz val="10"/>
      <color rgb="FFFFFFFF"/>
      <name val="Calibri"/>
      <family val="2"/>
    </font>
    <font>
      <b/>
      <sz val="10"/>
      <color theme="1"/>
      <name val="Calibri"/>
      <family val="2"/>
      <scheme val="minor"/>
    </font>
    <font>
      <b/>
      <sz val="11"/>
      <color rgb="FF00B050"/>
      <name val="Calibri"/>
      <family val="2"/>
    </font>
    <font>
      <b/>
      <sz val="9"/>
      <color theme="1"/>
      <name val="Calibri"/>
      <family val="2"/>
      <scheme val="minor"/>
    </font>
    <font>
      <b/>
      <sz val="9"/>
      <color indexed="9"/>
      <name val="Calibri"/>
      <family val="2"/>
      <scheme val="minor"/>
    </font>
    <font>
      <b/>
      <sz val="9.5"/>
      <color theme="1"/>
      <name val="Calibri"/>
      <family val="2"/>
      <scheme val="minor"/>
    </font>
    <font>
      <sz val="10"/>
      <color theme="5" tint="-0.249977111117893"/>
      <name val="Calibri"/>
      <family val="2"/>
      <scheme val="minor"/>
    </font>
    <font>
      <b/>
      <sz val="9.4"/>
      <name val="Calibri"/>
      <family val="2"/>
      <scheme val="minor"/>
    </font>
    <font>
      <b/>
      <u/>
      <sz val="9.4"/>
      <color rgb="FF00B050"/>
      <name val="Calibri"/>
      <family val="2"/>
      <scheme val="minor"/>
    </font>
    <font>
      <b/>
      <sz val="9.4"/>
      <color rgb="FF00B050"/>
      <name val="Calibri"/>
      <family val="2"/>
      <scheme val="minor"/>
    </font>
    <font>
      <b/>
      <sz val="11"/>
      <color theme="1"/>
      <name val="Calibri"/>
      <family val="2"/>
    </font>
    <font>
      <b/>
      <sz val="12"/>
      <color theme="1"/>
      <name val="Calibri"/>
      <family val="2"/>
      <scheme val="minor"/>
    </font>
    <font>
      <sz val="10"/>
      <color theme="1"/>
      <name val="Arial Narrow"/>
      <family val="2"/>
    </font>
    <font>
      <sz val="11"/>
      <color theme="8" tint="-0.249977111117893"/>
      <name val="Calibri"/>
      <family val="2"/>
      <scheme val="minor"/>
    </font>
    <font>
      <b/>
      <u val="singleAccounting"/>
      <sz val="11"/>
      <color theme="1"/>
      <name val="Calibri"/>
      <family val="2"/>
      <scheme val="minor"/>
    </font>
    <font>
      <b/>
      <sz val="11"/>
      <color rgb="FFFF0000"/>
      <name val="Calibri"/>
      <family val="2"/>
      <scheme val="minor"/>
    </font>
    <font>
      <b/>
      <sz val="11"/>
      <color rgb="FF000000"/>
      <name val="Calibri"/>
      <family val="2"/>
    </font>
    <font>
      <sz val="11"/>
      <color rgb="FF000000"/>
      <name val="Calibri"/>
      <family val="2"/>
    </font>
    <font>
      <b/>
      <i/>
      <u val="singleAccounting"/>
      <sz val="11"/>
      <color theme="1"/>
      <name val="Calibri"/>
      <family val="2"/>
      <scheme val="minor"/>
    </font>
    <font>
      <u/>
      <sz val="11"/>
      <color theme="1"/>
      <name val="Calibri"/>
      <family val="2"/>
      <scheme val="minor"/>
    </font>
    <font>
      <sz val="9"/>
      <color theme="1"/>
      <name val="Calibri"/>
      <family val="2"/>
      <scheme val="minor"/>
    </font>
    <font>
      <i/>
      <u val="singleAccounting"/>
      <sz val="11"/>
      <color theme="1"/>
      <name val="Calibri"/>
      <family val="2"/>
      <scheme val="minor"/>
    </font>
    <font>
      <sz val="11"/>
      <color theme="7" tint="-0.249977111117893"/>
      <name val="Calibri"/>
      <family val="2"/>
      <scheme val="minor"/>
    </font>
  </fonts>
  <fills count="34">
    <fill>
      <patternFill patternType="none"/>
    </fill>
    <fill>
      <patternFill patternType="gray125"/>
    </fill>
    <fill>
      <patternFill patternType="solid">
        <fgColor rgb="FF011C2C"/>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2F2F2"/>
        <bgColor indexed="64"/>
      </patternFill>
    </fill>
    <fill>
      <patternFill patternType="solid">
        <fgColor theme="0" tint="-0.14999847407452621"/>
        <bgColor indexed="64"/>
      </patternFill>
    </fill>
    <fill>
      <patternFill patternType="solid">
        <fgColor rgb="FFF2F2F2"/>
        <bgColor rgb="FF000000"/>
      </patternFill>
    </fill>
    <fill>
      <patternFill patternType="solid">
        <fgColor rgb="FF011C2C"/>
        <bgColor rgb="FF000000"/>
      </patternFill>
    </fill>
    <fill>
      <patternFill patternType="solid">
        <fgColor theme="4" tint="0.59999389629810485"/>
        <bgColor indexed="64"/>
      </patternFill>
    </fill>
    <fill>
      <patternFill patternType="solid">
        <fgColor theme="6" tint="0.39997558519241921"/>
        <bgColor indexed="64"/>
      </patternFill>
    </fill>
    <fill>
      <patternFill patternType="solid">
        <fgColor rgb="FF143C6F"/>
        <bgColor indexed="64"/>
      </patternFill>
    </fill>
    <fill>
      <patternFill patternType="solid">
        <fgColor indexed="22"/>
        <bgColor indexed="64"/>
      </patternFill>
    </fill>
    <fill>
      <patternFill patternType="solid">
        <fgColor theme="6"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theme="0" tint="-0.14999847407452621"/>
        <bgColor theme="0" tint="-0.14999847407452621"/>
      </patternFill>
    </fill>
    <fill>
      <patternFill patternType="solid">
        <fgColor theme="9" tint="0.79998168889431442"/>
        <bgColor indexed="64"/>
      </patternFill>
    </fill>
    <fill>
      <patternFill patternType="solid">
        <fgColor rgb="FFE8EBF0"/>
        <bgColor indexed="64"/>
      </patternFill>
    </fill>
    <fill>
      <patternFill patternType="solid">
        <fgColor theme="8" tint="0.79998168889431442"/>
        <bgColor indexed="64"/>
      </patternFill>
    </fill>
    <fill>
      <patternFill patternType="solid">
        <fgColor rgb="FFFFC9C9"/>
        <bgColor indexed="64"/>
      </patternFill>
    </fill>
    <fill>
      <patternFill patternType="solid">
        <fgColor rgb="FFDA9694"/>
        <bgColor indexed="64"/>
      </patternFill>
    </fill>
    <fill>
      <patternFill patternType="solid">
        <fgColor rgb="FFE6B8B7"/>
        <bgColor indexed="64"/>
      </patternFill>
    </fill>
  </fills>
  <borders count="305">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double">
        <color auto="1"/>
      </left>
      <right style="double">
        <color auto="1"/>
      </right>
      <top style="double">
        <color auto="1"/>
      </top>
      <bottom/>
      <diagonal/>
    </border>
    <border>
      <left style="thin">
        <color theme="0"/>
      </left>
      <right style="thin">
        <color theme="0"/>
      </right>
      <top/>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diagonalDown="1">
      <left style="thin">
        <color theme="0"/>
      </left>
      <right style="thin">
        <color theme="0"/>
      </right>
      <top style="thin">
        <color theme="0"/>
      </top>
      <bottom style="thin">
        <color theme="0"/>
      </bottom>
      <diagonal style="thin">
        <color theme="0"/>
      </diagonal>
    </border>
    <border diagonalDown="1">
      <left style="thin">
        <color theme="0"/>
      </left>
      <right style="thin">
        <color theme="0"/>
      </right>
      <top style="thin">
        <color theme="0"/>
      </top>
      <bottom/>
      <diagonal style="thin">
        <color theme="0"/>
      </diagonal>
    </border>
    <border>
      <left style="double">
        <color auto="1"/>
      </left>
      <right/>
      <top/>
      <bottom style="thin">
        <color theme="0"/>
      </bottom>
      <diagonal/>
    </border>
    <border>
      <left style="double">
        <color auto="1"/>
      </left>
      <right/>
      <top style="thin">
        <color theme="0"/>
      </top>
      <bottom style="thin">
        <color theme="0"/>
      </bottom>
      <diagonal/>
    </border>
    <border>
      <left style="double">
        <color auto="1"/>
      </left>
      <right/>
      <top style="thin">
        <color theme="0"/>
      </top>
      <bottom style="double">
        <color auto="1"/>
      </bottom>
      <diagonal/>
    </border>
    <border>
      <left/>
      <right style="double">
        <color auto="1"/>
      </right>
      <top style="thin">
        <color theme="0"/>
      </top>
      <bottom style="double">
        <color auto="1"/>
      </bottom>
      <diagonal/>
    </border>
    <border>
      <left style="double">
        <color auto="1"/>
      </left>
      <right style="thin">
        <color theme="0"/>
      </right>
      <top style="double">
        <color auto="1"/>
      </top>
      <bottom/>
      <diagonal/>
    </border>
    <border>
      <left style="thin">
        <color theme="0"/>
      </left>
      <right style="thin">
        <color theme="0"/>
      </right>
      <top style="double">
        <color auto="1"/>
      </top>
      <bottom/>
      <diagonal/>
    </border>
    <border>
      <left style="thin">
        <color theme="0"/>
      </left>
      <right style="double">
        <color auto="1"/>
      </right>
      <top style="double">
        <color auto="1"/>
      </top>
      <bottom/>
      <diagonal/>
    </border>
    <border>
      <left style="double">
        <color auto="1"/>
      </left>
      <right style="thin">
        <color theme="0"/>
      </right>
      <top style="thin">
        <color theme="0"/>
      </top>
      <bottom style="thin">
        <color theme="0"/>
      </bottom>
      <diagonal/>
    </border>
    <border>
      <left style="thin">
        <color theme="0"/>
      </left>
      <right style="double">
        <color auto="1"/>
      </right>
      <top/>
      <bottom style="thin">
        <color theme="0"/>
      </bottom>
      <diagonal/>
    </border>
    <border>
      <left style="thin">
        <color theme="0"/>
      </left>
      <right style="double">
        <color auto="1"/>
      </right>
      <top style="thin">
        <color theme="0"/>
      </top>
      <bottom style="thin">
        <color theme="0"/>
      </bottom>
      <diagonal/>
    </border>
    <border>
      <left style="double">
        <color auto="1"/>
      </left>
      <right style="thin">
        <color theme="0"/>
      </right>
      <top style="thin">
        <color theme="0"/>
      </top>
      <bottom style="double">
        <color auto="1"/>
      </bottom>
      <diagonal/>
    </border>
    <border>
      <left style="thin">
        <color theme="0"/>
      </left>
      <right style="thin">
        <color theme="0"/>
      </right>
      <top style="thin">
        <color theme="0"/>
      </top>
      <bottom style="double">
        <color auto="1"/>
      </bottom>
      <diagonal/>
    </border>
    <border>
      <left style="thin">
        <color theme="0"/>
      </left>
      <right style="double">
        <color auto="1"/>
      </right>
      <top style="thin">
        <color theme="0"/>
      </top>
      <bottom style="double">
        <color auto="1"/>
      </bottom>
      <diagonal/>
    </border>
    <border>
      <left/>
      <right style="thin">
        <color theme="0"/>
      </right>
      <top style="double">
        <color auto="1"/>
      </top>
      <bottom/>
      <diagonal/>
    </border>
    <border diagonalDown="1">
      <left/>
      <right style="thin">
        <color theme="0"/>
      </right>
      <top style="thin">
        <color theme="0"/>
      </top>
      <bottom style="thin">
        <color theme="0"/>
      </bottom>
      <diagonal style="medium">
        <color theme="0"/>
      </diagonal>
    </border>
    <border diagonalDown="1">
      <left style="thin">
        <color theme="0"/>
      </left>
      <right style="double">
        <color auto="1"/>
      </right>
      <top style="thin">
        <color theme="0"/>
      </top>
      <bottom style="thin">
        <color theme="0"/>
      </bottom>
      <diagonal style="medium">
        <color theme="0"/>
      </diagonal>
    </border>
    <border diagonalDown="1">
      <left style="thin">
        <color theme="0"/>
      </left>
      <right style="double">
        <color auto="1"/>
      </right>
      <top style="thin">
        <color theme="0"/>
      </top>
      <bottom style="thin">
        <color theme="0"/>
      </bottom>
      <diagonal style="double">
        <color theme="0"/>
      </diagonal>
    </border>
    <border>
      <left/>
      <right style="thin">
        <color theme="0"/>
      </right>
      <top style="thin">
        <color theme="0"/>
      </top>
      <bottom style="double">
        <color auto="1"/>
      </bottom>
      <diagonal/>
    </border>
    <border>
      <left/>
      <right style="thin">
        <color theme="0"/>
      </right>
      <top/>
      <bottom/>
      <diagonal/>
    </border>
    <border>
      <left style="thin">
        <color theme="0"/>
      </left>
      <right/>
      <top/>
      <bottom/>
      <diagonal/>
    </border>
    <border>
      <left style="thin">
        <color theme="0"/>
      </left>
      <right/>
      <top/>
      <bottom style="thin">
        <color theme="0"/>
      </bottom>
      <diagonal/>
    </border>
    <border>
      <left style="double">
        <color auto="1"/>
      </left>
      <right style="thin">
        <color theme="0"/>
      </right>
      <top style="thin">
        <color theme="0"/>
      </top>
      <bottom/>
      <diagonal/>
    </border>
    <border diagonalDown="1">
      <left style="thin">
        <color theme="0"/>
      </left>
      <right style="double">
        <color auto="1"/>
      </right>
      <top style="thin">
        <color theme="0"/>
      </top>
      <bottom/>
      <diagonal style="thin">
        <color theme="0"/>
      </diagonal>
    </border>
    <border>
      <left style="double">
        <color auto="1"/>
      </left>
      <right style="thin">
        <color theme="0"/>
      </right>
      <top/>
      <bottom style="double">
        <color auto="1"/>
      </bottom>
      <diagonal/>
    </border>
    <border>
      <left style="thin">
        <color theme="0"/>
      </left>
      <right style="thin">
        <color theme="0"/>
      </right>
      <top/>
      <bottom style="double">
        <color auto="1"/>
      </bottom>
      <diagonal/>
    </border>
    <border>
      <left style="thin">
        <color theme="0"/>
      </left>
      <right style="double">
        <color auto="1"/>
      </right>
      <top/>
      <bottom style="double">
        <color auto="1"/>
      </bottom>
      <diagonal/>
    </border>
    <border>
      <left style="double">
        <color auto="1"/>
      </left>
      <right style="thin">
        <color theme="0"/>
      </right>
      <top/>
      <bottom style="thin">
        <color theme="0"/>
      </bottom>
      <diagonal/>
    </border>
    <border diagonalDown="1">
      <left style="thin">
        <color theme="0"/>
      </left>
      <right style="double">
        <color auto="1"/>
      </right>
      <top style="thin">
        <color theme="0"/>
      </top>
      <bottom style="thin">
        <color theme="0"/>
      </bottom>
      <diagonal style="thin">
        <color theme="0"/>
      </diagonal>
    </border>
    <border diagonalDown="1">
      <left style="thin">
        <color theme="0"/>
      </left>
      <right style="thin">
        <color theme="0"/>
      </right>
      <top/>
      <bottom style="thin">
        <color theme="0"/>
      </bottom>
      <diagonal style="thin">
        <color theme="0"/>
      </diagonal>
    </border>
    <border diagonalDown="1">
      <left style="thin">
        <color theme="0"/>
      </left>
      <right style="thin">
        <color theme="0"/>
      </right>
      <top style="thin">
        <color theme="0"/>
      </top>
      <bottom style="double">
        <color auto="1"/>
      </bottom>
      <diagonal style="thin">
        <color theme="0"/>
      </diagonal>
    </border>
    <border>
      <left style="double">
        <color auto="1"/>
      </left>
      <right style="double">
        <color auto="1"/>
      </right>
      <top style="medium">
        <color theme="0"/>
      </top>
      <bottom style="double">
        <color auto="1"/>
      </bottom>
      <diagonal/>
    </border>
    <border>
      <left style="double">
        <color indexed="64"/>
      </left>
      <right style="thin">
        <color theme="0"/>
      </right>
      <top style="thin">
        <color theme="0"/>
      </top>
      <bottom style="thin">
        <color indexed="64"/>
      </bottom>
      <diagonal/>
    </border>
    <border>
      <left style="thin">
        <color theme="0"/>
      </left>
      <right style="double">
        <color indexed="64"/>
      </right>
      <top style="thin">
        <color theme="0"/>
      </top>
      <bottom style="thin">
        <color indexed="64"/>
      </bottom>
      <diagonal/>
    </border>
    <border>
      <left style="double">
        <color indexed="64"/>
      </left>
      <right style="thin">
        <color theme="0"/>
      </right>
      <top style="thin">
        <color indexed="64"/>
      </top>
      <bottom style="thin">
        <color theme="0"/>
      </bottom>
      <diagonal/>
    </border>
    <border>
      <left style="thin">
        <color theme="0"/>
      </left>
      <right style="double">
        <color indexed="64"/>
      </right>
      <top style="thin">
        <color indexed="64"/>
      </top>
      <bottom style="thin">
        <color theme="0"/>
      </bottom>
      <diagonal/>
    </border>
    <border>
      <left/>
      <right/>
      <top style="double">
        <color indexed="64"/>
      </top>
      <bottom style="double">
        <color theme="0"/>
      </bottom>
      <diagonal/>
    </border>
    <border>
      <left style="thin">
        <color theme="0"/>
      </left>
      <right style="double">
        <color auto="1"/>
      </right>
      <top style="thin">
        <color theme="0"/>
      </top>
      <bottom/>
      <diagonal/>
    </border>
    <border>
      <left style="medium">
        <color theme="0"/>
      </left>
      <right style="double">
        <color auto="1"/>
      </right>
      <top style="medium">
        <color theme="0"/>
      </top>
      <bottom style="double">
        <color auto="1"/>
      </bottom>
      <diagonal/>
    </border>
    <border>
      <left style="double">
        <color indexed="64"/>
      </left>
      <right style="thin">
        <color theme="0"/>
      </right>
      <top style="double">
        <color indexed="64"/>
      </top>
      <bottom style="double">
        <color indexed="64"/>
      </bottom>
      <diagonal/>
    </border>
    <border>
      <left style="double">
        <color indexed="64"/>
      </left>
      <right style="thin">
        <color theme="0"/>
      </right>
      <top style="double">
        <color indexed="64"/>
      </top>
      <bottom style="medium">
        <color theme="0"/>
      </bottom>
      <diagonal/>
    </border>
    <border>
      <left style="thin">
        <color theme="0"/>
      </left>
      <right style="thin">
        <color theme="0"/>
      </right>
      <top style="double">
        <color indexed="64"/>
      </top>
      <bottom style="medium">
        <color theme="0"/>
      </bottom>
      <diagonal/>
    </border>
    <border>
      <left style="double">
        <color auto="1"/>
      </left>
      <right style="thin">
        <color theme="0"/>
      </right>
      <top style="thin">
        <color theme="0"/>
      </top>
      <bottom style="medium">
        <color theme="0"/>
      </bottom>
      <diagonal/>
    </border>
    <border>
      <left style="thin">
        <color theme="0"/>
      </left>
      <right style="thin">
        <color theme="0"/>
      </right>
      <top style="thin">
        <color theme="0"/>
      </top>
      <bottom style="medium">
        <color theme="0"/>
      </bottom>
      <diagonal/>
    </border>
    <border diagonalDown="1">
      <left style="thin">
        <color theme="0"/>
      </left>
      <right style="thin">
        <color theme="0"/>
      </right>
      <top style="medium">
        <color theme="0"/>
      </top>
      <bottom style="thin">
        <color theme="0"/>
      </bottom>
      <diagonal style="thin">
        <color theme="0"/>
      </diagonal>
    </border>
    <border diagonalDown="1">
      <left style="thin">
        <color theme="0"/>
      </left>
      <right style="thin">
        <color theme="0"/>
      </right>
      <top style="double">
        <color indexed="64"/>
      </top>
      <bottom style="medium">
        <color theme="0"/>
      </bottom>
      <diagonal style="thin">
        <color theme="0"/>
      </diagonal>
    </border>
    <border>
      <left style="thin">
        <color theme="0"/>
      </left>
      <right/>
      <top style="double">
        <color indexed="64"/>
      </top>
      <bottom style="medium">
        <color theme="0"/>
      </bottom>
      <diagonal/>
    </border>
    <border>
      <left style="thin">
        <color theme="0"/>
      </left>
      <right/>
      <top style="thin">
        <color theme="0"/>
      </top>
      <bottom style="medium">
        <color theme="0"/>
      </bottom>
      <diagonal/>
    </border>
    <border>
      <left style="thin">
        <color theme="0"/>
      </left>
      <right/>
      <top style="thin">
        <color theme="0"/>
      </top>
      <bottom style="double">
        <color auto="1"/>
      </bottom>
      <diagonal/>
    </border>
    <border>
      <left style="thin">
        <color theme="0"/>
      </left>
      <right style="thin">
        <color theme="0"/>
      </right>
      <top style="thin">
        <color theme="0"/>
      </top>
      <bottom/>
      <diagonal/>
    </border>
    <border>
      <left style="double">
        <color auto="1"/>
      </left>
      <right style="thin">
        <color theme="0"/>
      </right>
      <top style="medium">
        <color theme="0"/>
      </top>
      <bottom style="thin">
        <color theme="0"/>
      </bottom>
      <diagonal/>
    </border>
    <border>
      <left style="thin">
        <color theme="0"/>
      </left>
      <right style="thin">
        <color theme="0"/>
      </right>
      <top style="medium">
        <color theme="0"/>
      </top>
      <bottom style="thin">
        <color theme="0"/>
      </bottom>
      <diagonal/>
    </border>
    <border>
      <left style="thin">
        <color theme="0"/>
      </left>
      <right style="double">
        <color auto="1"/>
      </right>
      <top style="medium">
        <color theme="0"/>
      </top>
      <bottom style="thin">
        <color theme="0"/>
      </bottom>
      <diagonal/>
    </border>
    <border>
      <left style="double">
        <color auto="1"/>
      </left>
      <right style="thin">
        <color theme="0"/>
      </right>
      <top style="double">
        <color auto="1"/>
      </top>
      <bottom style="thin">
        <color theme="0"/>
      </bottom>
      <diagonal/>
    </border>
    <border>
      <left style="thin">
        <color theme="0"/>
      </left>
      <right style="double">
        <color auto="1"/>
      </right>
      <top style="double">
        <color auto="1"/>
      </top>
      <bottom style="thin">
        <color theme="0"/>
      </bottom>
      <diagonal/>
    </border>
    <border>
      <left style="thin">
        <color theme="0"/>
      </left>
      <right style="thin">
        <color theme="0"/>
      </right>
      <top style="medium">
        <color theme="0"/>
      </top>
      <bottom style="medium">
        <color theme="0"/>
      </bottom>
      <diagonal/>
    </border>
    <border>
      <left style="double">
        <color auto="1"/>
      </left>
      <right style="thin">
        <color theme="0"/>
      </right>
      <top style="medium">
        <color theme="0"/>
      </top>
      <bottom style="medium">
        <color theme="0"/>
      </bottom>
      <diagonal/>
    </border>
    <border>
      <left style="thin">
        <color theme="0"/>
      </left>
      <right style="double">
        <color auto="1"/>
      </right>
      <top style="medium">
        <color theme="0"/>
      </top>
      <bottom style="medium">
        <color theme="0"/>
      </bottom>
      <diagonal/>
    </border>
    <border diagonalDown="1">
      <left/>
      <right style="thin">
        <color theme="0"/>
      </right>
      <top/>
      <bottom style="thin">
        <color theme="0"/>
      </bottom>
      <diagonal style="thin">
        <color theme="0"/>
      </diagonal>
    </border>
    <border>
      <left style="double">
        <color auto="1"/>
      </left>
      <right style="double">
        <color auto="1"/>
      </right>
      <top style="medium">
        <color indexed="64"/>
      </top>
      <bottom/>
      <diagonal/>
    </border>
    <border>
      <left style="double">
        <color auto="1"/>
      </left>
      <right style="double">
        <color auto="1"/>
      </right>
      <top style="thin">
        <color indexed="64"/>
      </top>
      <bottom style="double">
        <color auto="1"/>
      </bottom>
      <diagonal/>
    </border>
    <border>
      <left style="double">
        <color auto="1"/>
      </left>
      <right style="double">
        <color auto="1"/>
      </right>
      <top style="double">
        <color auto="1"/>
      </top>
      <bottom style="double">
        <color theme="0"/>
      </bottom>
      <diagonal/>
    </border>
    <border>
      <left style="double">
        <color auto="1"/>
      </left>
      <right style="double">
        <color auto="1"/>
      </right>
      <top style="double">
        <color theme="0"/>
      </top>
      <bottom style="double">
        <color auto="1"/>
      </bottom>
      <diagonal/>
    </border>
    <border>
      <left/>
      <right style="double">
        <color auto="1"/>
      </right>
      <top/>
      <bottom/>
      <diagonal/>
    </border>
    <border>
      <left/>
      <right style="double">
        <color auto="1"/>
      </right>
      <top/>
      <bottom style="double">
        <color auto="1"/>
      </bottom>
      <diagonal/>
    </border>
    <border>
      <left/>
      <right style="thin">
        <color indexed="64"/>
      </right>
      <top/>
      <bottom/>
      <diagonal/>
    </border>
    <border>
      <left style="thin">
        <color indexed="64"/>
      </left>
      <right/>
      <top/>
      <bottom/>
      <diagonal/>
    </border>
    <border>
      <left style="thin">
        <color rgb="FF000000"/>
      </left>
      <right/>
      <top/>
      <bottom/>
      <diagonal/>
    </border>
    <border>
      <left style="double">
        <color auto="1"/>
      </left>
      <right style="double">
        <color auto="1"/>
      </right>
      <top style="double">
        <color auto="1"/>
      </top>
      <bottom style="double">
        <color auto="1"/>
      </bottom>
      <diagonal/>
    </border>
    <border>
      <left/>
      <right style="double">
        <color auto="1"/>
      </right>
      <top style="double">
        <color auto="1"/>
      </top>
      <bottom style="double">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theme="0"/>
      </top>
      <bottom style="thin">
        <color indexed="64"/>
      </bottom>
      <diagonal/>
    </border>
    <border>
      <left/>
      <right style="thin">
        <color auto="1"/>
      </right>
      <top style="thin">
        <color auto="1"/>
      </top>
      <bottom style="thin">
        <color theme="0"/>
      </bottom>
      <diagonal/>
    </border>
    <border>
      <left style="thin">
        <color auto="1"/>
      </left>
      <right/>
      <top style="thin">
        <color auto="1"/>
      </top>
      <bottom style="thin">
        <color theme="0"/>
      </bottom>
      <diagonal/>
    </border>
    <border>
      <left style="double">
        <color auto="1"/>
      </left>
      <right style="double">
        <color auto="1"/>
      </right>
      <top style="double">
        <color rgb="FFFFFFFF"/>
      </top>
      <bottom style="double">
        <color auto="1"/>
      </bottom>
      <diagonal/>
    </border>
    <border>
      <left style="thin">
        <color indexed="64"/>
      </left>
      <right style="thin">
        <color indexed="64"/>
      </right>
      <top style="thin">
        <color indexed="64"/>
      </top>
      <bottom style="thin">
        <color indexed="64"/>
      </bottom>
      <diagonal/>
    </border>
    <border>
      <left/>
      <right style="thin">
        <color auto="1"/>
      </right>
      <top style="thin">
        <color theme="0"/>
      </top>
      <bottom style="thin">
        <color auto="1"/>
      </bottom>
      <diagonal/>
    </border>
    <border>
      <left style="thin">
        <color auto="1"/>
      </left>
      <right/>
      <top style="thin">
        <color theme="0"/>
      </top>
      <bottom style="thin">
        <color auto="1"/>
      </bottom>
      <diagonal/>
    </border>
    <border>
      <left style="double">
        <color auto="1"/>
      </left>
      <right style="double">
        <color auto="1"/>
      </right>
      <top style="double">
        <color auto="1"/>
      </top>
      <bottom style="double">
        <color rgb="FFFFFFFF"/>
      </bottom>
      <diagonal/>
    </border>
    <border>
      <left/>
      <right style="thin">
        <color auto="1"/>
      </right>
      <top style="thin">
        <color theme="0"/>
      </top>
      <bottom style="thin">
        <color theme="0"/>
      </bottom>
      <diagonal/>
    </border>
    <border>
      <left style="thin">
        <color auto="1"/>
      </left>
      <right/>
      <top style="thin">
        <color theme="0"/>
      </top>
      <bottom style="thin">
        <color theme="0"/>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style="thin">
        <color indexed="64"/>
      </left>
      <right style="thin">
        <color theme="0"/>
      </right>
      <top style="thin">
        <color indexed="64"/>
      </top>
      <bottom/>
      <diagonal/>
    </border>
    <border>
      <left style="thin">
        <color indexed="64"/>
      </left>
      <right style="thin">
        <color indexed="64"/>
      </right>
      <top/>
      <bottom style="thin">
        <color indexed="64"/>
      </bottom>
      <diagonal/>
    </border>
    <border>
      <left/>
      <right style="thin">
        <color indexed="64"/>
      </right>
      <top style="thin">
        <color theme="0"/>
      </top>
      <bottom/>
      <diagonal/>
    </border>
    <border>
      <left style="thin">
        <color indexed="64"/>
      </left>
      <right/>
      <top style="thin">
        <color theme="0"/>
      </top>
      <bottom/>
      <diagonal/>
    </border>
    <border>
      <left style="thin">
        <color indexed="64"/>
      </left>
      <right style="thin">
        <color theme="0"/>
      </right>
      <top style="thin">
        <color theme="0"/>
      </top>
      <bottom style="thin">
        <color theme="0"/>
      </bottom>
      <diagonal/>
    </border>
    <border>
      <left style="thin">
        <color indexed="64"/>
      </left>
      <right style="thin">
        <color indexed="64"/>
      </right>
      <top style="thin">
        <color indexed="64"/>
      </top>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indexed="64"/>
      </top>
      <bottom style="thin">
        <color theme="0"/>
      </bottom>
      <diagonal/>
    </border>
    <border>
      <left style="medium">
        <color indexed="64"/>
      </left>
      <right style="medium">
        <color indexed="64"/>
      </right>
      <top style="thin">
        <color theme="0"/>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auto="1"/>
      </left>
      <right style="double">
        <color auto="1"/>
      </right>
      <top style="double">
        <color auto="1"/>
      </top>
      <bottom style="double">
        <color auto="1"/>
      </bottom>
      <diagonal/>
    </border>
    <border>
      <left style="thin">
        <color auto="1"/>
      </left>
      <right style="thin">
        <color auto="1"/>
      </right>
      <top style="double">
        <color auto="1"/>
      </top>
      <bottom style="double">
        <color auto="1"/>
      </bottom>
      <diagonal/>
    </border>
    <border diagonalDown="1">
      <left style="thin">
        <color auto="1"/>
      </left>
      <right style="thin">
        <color auto="1"/>
      </right>
      <top style="double">
        <color auto="1"/>
      </top>
      <bottom style="double">
        <color auto="1"/>
      </bottom>
      <diagonal style="thin">
        <color auto="1"/>
      </diagonal>
    </border>
    <border>
      <left style="double">
        <color auto="1"/>
      </left>
      <right style="thin">
        <color auto="1"/>
      </right>
      <top style="double">
        <color auto="1"/>
      </top>
      <bottom style="double">
        <color auto="1"/>
      </bottom>
      <diagonal/>
    </border>
    <border>
      <left style="thin">
        <color indexed="64"/>
      </left>
      <right style="double">
        <color indexed="64"/>
      </right>
      <top style="medium">
        <color indexed="64"/>
      </top>
      <bottom/>
      <diagonal/>
    </border>
    <border>
      <left style="medium">
        <color indexed="64"/>
      </left>
      <right style="thin">
        <color indexed="64"/>
      </right>
      <top style="medium">
        <color indexed="64"/>
      </top>
      <bottom/>
      <diagonal/>
    </border>
    <border>
      <left style="double">
        <color indexed="64"/>
      </left>
      <right/>
      <top style="medium">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medium">
        <color indexed="64"/>
      </bottom>
      <diagonal/>
    </border>
    <border>
      <left style="thin">
        <color indexed="64"/>
      </left>
      <right style="double">
        <color auto="1"/>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theme="0"/>
      </left>
      <right style="thin">
        <color indexed="64"/>
      </right>
      <top/>
      <bottom style="thin">
        <color theme="0"/>
      </bottom>
      <diagonal/>
    </border>
    <border>
      <left style="thin">
        <color theme="0"/>
      </left>
      <right style="thin">
        <color theme="0"/>
      </right>
      <top/>
      <bottom style="medium">
        <color indexed="64"/>
      </bottom>
      <diagonal/>
    </border>
    <border>
      <left/>
      <right style="thin">
        <color theme="0"/>
      </right>
      <top/>
      <bottom style="medium">
        <color indexed="64"/>
      </bottom>
      <diagonal/>
    </border>
    <border>
      <left style="thin">
        <color theme="0"/>
      </left>
      <right style="thin">
        <color indexed="64"/>
      </right>
      <top style="thin">
        <color indexed="64"/>
      </top>
      <bottom/>
      <diagonal/>
    </border>
    <border>
      <left style="thin">
        <color theme="0"/>
      </left>
      <right style="medium">
        <color indexed="64"/>
      </right>
      <top style="medium">
        <color indexed="64"/>
      </top>
      <bottom style="medium">
        <color indexed="64"/>
      </bottom>
      <diagonal/>
    </border>
    <border>
      <left style="medium">
        <color indexed="64"/>
      </left>
      <right style="thin">
        <color theme="0"/>
      </right>
      <top style="medium">
        <color indexed="64"/>
      </top>
      <bottom style="medium">
        <color indexed="64"/>
      </bottom>
      <diagonal/>
    </border>
    <border>
      <left style="thin">
        <color theme="0"/>
      </left>
      <right style="thin">
        <color indexed="64"/>
      </right>
      <top style="thin">
        <color theme="0"/>
      </top>
      <bottom/>
      <diagonal/>
    </border>
    <border>
      <left style="thin">
        <color indexed="64"/>
      </left>
      <right style="thin">
        <color theme="0"/>
      </right>
      <top style="thin">
        <color theme="0"/>
      </top>
      <bottom/>
      <diagonal/>
    </border>
    <border>
      <left style="thin">
        <color theme="0"/>
      </left>
      <right style="thin">
        <color indexed="64"/>
      </right>
      <top style="thin">
        <color theme="0"/>
      </top>
      <bottom style="thin">
        <color theme="0"/>
      </bottom>
      <diagonal/>
    </border>
    <border>
      <left style="thin">
        <color theme="0"/>
      </left>
      <right style="thin">
        <color indexed="64"/>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double">
        <color auto="1"/>
      </left>
      <right/>
      <top/>
      <bottom style="double">
        <color auto="1"/>
      </bottom>
      <diagonal/>
    </border>
    <border>
      <left style="thin">
        <color indexed="64"/>
      </left>
      <right style="double">
        <color indexed="64"/>
      </right>
      <top style="dotted">
        <color indexed="64"/>
      </top>
      <bottom style="double">
        <color indexed="64"/>
      </bottom>
      <diagonal/>
    </border>
    <border>
      <left style="double">
        <color indexed="64"/>
      </left>
      <right style="thin">
        <color indexed="64"/>
      </right>
      <top/>
      <bottom style="double">
        <color indexed="64"/>
      </bottom>
      <diagonal/>
    </border>
    <border>
      <left style="double">
        <color indexed="64"/>
      </left>
      <right style="double">
        <color indexed="64"/>
      </right>
      <top style="dotted">
        <color indexed="64"/>
      </top>
      <bottom style="double">
        <color indexed="64"/>
      </bottom>
      <diagonal/>
    </border>
    <border>
      <left/>
      <right/>
      <top style="dotted">
        <color indexed="64"/>
      </top>
      <bottom style="double">
        <color indexed="64"/>
      </bottom>
      <diagonal/>
    </border>
    <border>
      <left style="thin">
        <color indexed="64"/>
      </left>
      <right style="double">
        <color indexed="64"/>
      </right>
      <top style="dotted">
        <color indexed="64"/>
      </top>
      <bottom style="dotted">
        <color indexed="64"/>
      </bottom>
      <diagonal/>
    </border>
    <border>
      <left/>
      <right/>
      <top style="dotted">
        <color auto="1"/>
      </top>
      <bottom style="dotted">
        <color auto="1"/>
      </bottom>
      <diagonal/>
    </border>
    <border>
      <left style="double">
        <color indexed="64"/>
      </left>
      <right style="thin">
        <color indexed="64"/>
      </right>
      <top/>
      <bottom style="dotted">
        <color indexed="64"/>
      </bottom>
      <diagonal/>
    </border>
    <border>
      <left style="double">
        <color indexed="64"/>
      </left>
      <right style="double">
        <color indexed="64"/>
      </right>
      <top style="dotted">
        <color indexed="64"/>
      </top>
      <bottom style="dotted">
        <color indexed="64"/>
      </bottom>
      <diagonal/>
    </border>
    <border>
      <left style="thin">
        <color indexed="64"/>
      </left>
      <right style="double">
        <color indexed="64"/>
      </right>
      <top style="double">
        <color indexed="64"/>
      </top>
      <bottom style="dotted">
        <color indexed="64"/>
      </bottom>
      <diagonal/>
    </border>
    <border>
      <left/>
      <right/>
      <top style="double">
        <color indexed="64"/>
      </top>
      <bottom style="dotted">
        <color indexed="64"/>
      </bottom>
      <diagonal/>
    </border>
    <border>
      <left style="double">
        <color indexed="64"/>
      </left>
      <right style="thin">
        <color indexed="64"/>
      </right>
      <top style="double">
        <color indexed="64"/>
      </top>
      <bottom style="dotted">
        <color indexed="64"/>
      </bottom>
      <diagonal/>
    </border>
    <border>
      <left style="double">
        <color indexed="64"/>
      </left>
      <right style="double">
        <color indexed="64"/>
      </right>
      <top style="double">
        <color indexed="64"/>
      </top>
      <bottom style="dotted">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top/>
      <bottom style="double">
        <color auto="1"/>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double">
        <color auto="1"/>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double">
        <color indexed="64"/>
      </left>
      <right style="double">
        <color indexed="64"/>
      </right>
      <top/>
      <bottom style="double">
        <color indexed="64"/>
      </bottom>
      <diagonal/>
    </border>
    <border>
      <left/>
      <right style="double">
        <color auto="1"/>
      </right>
      <top/>
      <bottom style="medium">
        <color indexed="64"/>
      </bottom>
      <diagonal/>
    </border>
    <border>
      <left/>
      <right/>
      <top/>
      <bottom style="medium">
        <color indexed="64"/>
      </bottom>
      <diagonal/>
    </border>
    <border>
      <left style="medium">
        <color indexed="64"/>
      </left>
      <right/>
      <top/>
      <bottom style="medium">
        <color indexed="64"/>
      </bottom>
      <diagonal/>
    </border>
    <border>
      <left style="double">
        <color auto="1"/>
      </left>
      <right style="medium">
        <color indexed="64"/>
      </right>
      <top style="double">
        <color auto="1"/>
      </top>
      <bottom style="medium">
        <color indexed="64"/>
      </bottom>
      <diagonal/>
    </border>
    <border>
      <left/>
      <right style="double">
        <color auto="1"/>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ouble">
        <color auto="1"/>
      </left>
      <right style="double">
        <color auto="1"/>
      </right>
      <top style="double">
        <color auto="1"/>
      </top>
      <bottom style="thin">
        <color auto="1"/>
      </bottom>
      <diagonal/>
    </border>
    <border>
      <left/>
      <right style="double">
        <color auto="1"/>
      </right>
      <top style="thin">
        <color auto="1"/>
      </top>
      <bottom style="double">
        <color auto="1"/>
      </bottom>
      <diagonal/>
    </border>
    <border>
      <left/>
      <right/>
      <top style="thin">
        <color indexed="64"/>
      </top>
      <bottom style="medium">
        <color indexed="64"/>
      </bottom>
      <diagonal/>
    </border>
    <border>
      <left/>
      <right/>
      <top style="medium">
        <color auto="1"/>
      </top>
      <bottom style="thin">
        <color auto="1"/>
      </bottom>
      <diagonal/>
    </border>
    <border>
      <left/>
      <right/>
      <top style="thin">
        <color indexed="64"/>
      </top>
      <bottom/>
      <diagonal/>
    </border>
    <border>
      <left style="thin">
        <color indexed="64"/>
      </left>
      <right/>
      <top style="thin">
        <color indexed="64"/>
      </top>
      <bottom/>
      <diagonal/>
    </border>
    <border>
      <left style="double">
        <color indexed="64"/>
      </left>
      <right style="double">
        <color indexed="64"/>
      </right>
      <top style="medium">
        <color indexed="64"/>
      </top>
      <bottom style="double">
        <color indexed="64"/>
      </bottom>
      <diagonal/>
    </border>
    <border>
      <left/>
      <right style="thin">
        <color indexed="64"/>
      </right>
      <top style="medium">
        <color indexed="64"/>
      </top>
      <bottom style="medium">
        <color indexed="64"/>
      </bottom>
      <diagonal/>
    </border>
    <border>
      <left style="double">
        <color indexed="64"/>
      </left>
      <right style="double">
        <color indexed="64"/>
      </right>
      <top/>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right/>
      <top/>
      <bottom style="thin">
        <color indexed="64"/>
      </bottom>
      <diagonal/>
    </border>
    <border>
      <left style="thin">
        <color indexed="64"/>
      </left>
      <right/>
      <top/>
      <bottom style="thin">
        <color indexed="64"/>
      </bottom>
      <diagonal/>
    </border>
    <border diagonalDown="1">
      <left/>
      <right/>
      <top style="medium">
        <color indexed="64"/>
      </top>
      <bottom style="medium">
        <color indexed="64"/>
      </bottom>
      <diagonal style="thin">
        <color indexed="64"/>
      </diagonal>
    </border>
    <border diagonalDown="1">
      <left/>
      <right/>
      <top style="thin">
        <color indexed="64"/>
      </top>
      <bottom/>
      <diagonal style="thin">
        <color auto="1"/>
      </diagonal>
    </border>
    <border>
      <left style="double">
        <color indexed="64"/>
      </left>
      <right style="double">
        <color indexed="64"/>
      </right>
      <top style="thin">
        <color indexed="64"/>
      </top>
      <bottom style="thin">
        <color indexed="64"/>
      </bottom>
      <diagonal/>
    </border>
    <border diagonalDown="1">
      <left/>
      <right/>
      <top style="thin">
        <color indexed="64"/>
      </top>
      <bottom style="thin">
        <color indexed="64"/>
      </bottom>
      <diagonal style="thin">
        <color auto="1"/>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ouble">
        <color indexed="64"/>
      </right>
      <top style="medium">
        <color indexed="64"/>
      </top>
      <bottom style="double">
        <color indexed="64"/>
      </bottom>
      <diagonal/>
    </border>
    <border diagonalDown="1">
      <left style="thin">
        <color indexed="64"/>
      </left>
      <right style="thin">
        <color indexed="64"/>
      </right>
      <top style="medium">
        <color indexed="64"/>
      </top>
      <bottom style="double">
        <color indexed="64"/>
      </bottom>
      <diagonal style="thin">
        <color indexed="64"/>
      </diagonal>
    </border>
    <border>
      <left style="thin">
        <color indexed="64"/>
      </left>
      <right style="thin">
        <color indexed="64"/>
      </right>
      <top style="medium">
        <color indexed="64"/>
      </top>
      <bottom style="double">
        <color indexed="64"/>
      </bottom>
      <diagonal/>
    </border>
    <border>
      <left style="double">
        <color auto="1"/>
      </left>
      <right style="thin">
        <color auto="1"/>
      </right>
      <top style="medium">
        <color auto="1"/>
      </top>
      <bottom style="double">
        <color auto="1"/>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auto="1"/>
      </left>
      <right style="double">
        <color auto="1"/>
      </right>
      <top style="double">
        <color auto="1"/>
      </top>
      <bottom/>
      <diagonal/>
    </border>
    <border>
      <left style="thin">
        <color auto="1"/>
      </left>
      <right style="thin">
        <color auto="1"/>
      </right>
      <top style="double">
        <color auto="1"/>
      </top>
      <bottom/>
      <diagonal/>
    </border>
    <border>
      <left style="double">
        <color auto="1"/>
      </left>
      <right style="thin">
        <color auto="1"/>
      </right>
      <top style="double">
        <color auto="1"/>
      </top>
      <bottom/>
      <diagonal/>
    </border>
    <border>
      <left style="thin">
        <color indexed="64"/>
      </left>
      <right style="medium">
        <color indexed="64"/>
      </right>
      <top style="thin">
        <color indexed="64"/>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Down="1">
      <left/>
      <right/>
      <top/>
      <bottom/>
      <diagonal style="thin">
        <color auto="1"/>
      </diagonal>
    </border>
    <border>
      <left/>
      <right style="double">
        <color indexed="64"/>
      </right>
      <top style="medium">
        <color indexed="64"/>
      </top>
      <bottom/>
      <diagonal/>
    </border>
    <border>
      <left style="double">
        <color auto="1"/>
      </left>
      <right/>
      <top/>
      <bottom style="medium">
        <color indexed="64"/>
      </bottom>
      <diagonal/>
    </border>
    <border diagonalDown="1">
      <left/>
      <right/>
      <top/>
      <bottom style="double">
        <color auto="1"/>
      </bottom>
      <diagonal style="thin">
        <color auto="1"/>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double">
        <color indexed="64"/>
      </right>
      <top style="thin">
        <color indexed="64"/>
      </top>
      <bottom/>
      <diagonal/>
    </border>
    <border>
      <left style="double">
        <color indexed="64"/>
      </left>
      <right/>
      <top style="thin">
        <color indexed="64"/>
      </top>
      <bottom/>
      <diagonal/>
    </border>
    <border>
      <left/>
      <right style="double">
        <color auto="1"/>
      </right>
      <top style="thick">
        <color indexed="64"/>
      </top>
      <bottom style="double">
        <color indexed="64"/>
      </bottom>
      <diagonal/>
    </border>
    <border>
      <left/>
      <right/>
      <top style="thick">
        <color indexed="64"/>
      </top>
      <bottom style="double">
        <color indexed="64"/>
      </bottom>
      <diagonal/>
    </border>
    <border>
      <left style="double">
        <color indexed="64"/>
      </left>
      <right/>
      <top style="thick">
        <color indexed="64"/>
      </top>
      <bottom style="double">
        <color indexed="64"/>
      </bottom>
      <diagonal/>
    </border>
    <border>
      <left style="double">
        <color auto="1"/>
      </left>
      <right style="double">
        <color auto="1"/>
      </right>
      <top/>
      <bottom style="thick">
        <color auto="1"/>
      </bottom>
      <diagonal/>
    </border>
    <border>
      <left style="double">
        <color auto="1"/>
      </left>
      <right style="double">
        <color auto="1"/>
      </right>
      <top style="thick">
        <color auto="1"/>
      </top>
      <bottom/>
      <diagonal/>
    </border>
    <border>
      <left style="double">
        <color indexed="64"/>
      </left>
      <right style="double">
        <color indexed="64"/>
      </right>
      <top style="medium">
        <color indexed="64"/>
      </top>
      <bottom style="medium">
        <color indexed="64"/>
      </bottom>
      <diagonal/>
    </border>
    <border>
      <left style="thick">
        <color auto="1"/>
      </left>
      <right style="thick">
        <color auto="1"/>
      </right>
      <top style="thick">
        <color auto="1"/>
      </top>
      <bottom style="thick">
        <color auto="1"/>
      </bottom>
      <diagonal/>
    </border>
    <border>
      <left style="double">
        <color indexed="64"/>
      </left>
      <right style="double">
        <color indexed="64"/>
      </right>
      <top/>
      <bottom style="medium">
        <color indexed="64"/>
      </bottom>
      <diagonal/>
    </border>
    <border>
      <left style="double">
        <color indexed="64"/>
      </left>
      <right style="double">
        <color indexed="64"/>
      </right>
      <top style="double">
        <color indexed="64"/>
      </top>
      <bottom style="medium">
        <color indexed="64"/>
      </bottom>
      <diagonal/>
    </border>
    <border>
      <left/>
      <right style="double">
        <color indexed="64"/>
      </right>
      <top/>
      <bottom style="thin">
        <color indexed="64"/>
      </bottom>
      <diagonal/>
    </border>
    <border>
      <left style="thick">
        <color auto="1"/>
      </left>
      <right/>
      <top style="thick">
        <color auto="1"/>
      </top>
      <bottom style="thick">
        <color auto="1"/>
      </bottom>
      <diagonal/>
    </border>
    <border>
      <left style="thick">
        <color indexed="64"/>
      </left>
      <right/>
      <top style="thin">
        <color indexed="64"/>
      </top>
      <bottom style="thick">
        <color indexed="64"/>
      </bottom>
      <diagonal/>
    </border>
    <border>
      <left style="medium">
        <color indexed="64"/>
      </left>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bottom style="thin">
        <color indexed="64"/>
      </bottom>
      <diagonal/>
    </border>
    <border>
      <left style="thick">
        <color auto="1"/>
      </left>
      <right style="thick">
        <color auto="1"/>
      </right>
      <top/>
      <bottom style="thick">
        <color auto="1"/>
      </bottom>
      <diagonal/>
    </border>
    <border>
      <left style="thick">
        <color auto="1"/>
      </left>
      <right style="thick">
        <color auto="1"/>
      </right>
      <top style="thick">
        <color auto="1"/>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double">
        <color indexed="64"/>
      </right>
      <top style="double">
        <color indexed="64"/>
      </top>
      <bottom style="medium">
        <color indexed="64"/>
      </bottom>
      <diagonal/>
    </border>
    <border>
      <left style="double">
        <color auto="1"/>
      </left>
      <right/>
      <top style="double">
        <color auto="1"/>
      </top>
      <bottom style="medium">
        <color auto="1"/>
      </bottom>
      <diagonal/>
    </border>
    <border>
      <left style="double">
        <color auto="1"/>
      </left>
      <right style="medium">
        <color auto="1"/>
      </right>
      <top style="double">
        <color auto="1"/>
      </top>
      <bottom style="double">
        <color auto="1"/>
      </bottom>
      <diagonal/>
    </border>
    <border>
      <left style="thin">
        <color indexed="64"/>
      </left>
      <right style="double">
        <color auto="1"/>
      </right>
      <top style="medium">
        <color indexed="64"/>
      </top>
      <bottom style="medium">
        <color indexed="64"/>
      </bottom>
      <diagonal/>
    </border>
    <border>
      <left style="double">
        <color auto="1"/>
      </left>
      <right style="double">
        <color auto="1"/>
      </right>
      <top style="thin">
        <color indexed="64"/>
      </top>
      <bottom style="medium">
        <color indexed="64"/>
      </bottom>
      <diagonal/>
    </border>
    <border>
      <left style="double">
        <color auto="1"/>
      </left>
      <right style="double">
        <color auto="1"/>
      </right>
      <top style="medium">
        <color indexed="64"/>
      </top>
      <bottom style="thin">
        <color indexed="64"/>
      </bottom>
      <diagonal/>
    </border>
    <border>
      <left/>
      <right/>
      <top style="double">
        <color auto="1"/>
      </top>
      <bottom style="medium">
        <color auto="1"/>
      </bottom>
      <diagonal/>
    </border>
    <border>
      <left/>
      <right/>
      <top/>
      <bottom style="medium">
        <color theme="1"/>
      </bottom>
      <diagonal/>
    </border>
    <border>
      <left/>
      <right/>
      <top style="medium">
        <color theme="1"/>
      </top>
      <bottom/>
      <diagonal/>
    </border>
    <border>
      <left style="medium">
        <color indexed="64"/>
      </left>
      <right style="thin">
        <color indexed="64"/>
      </right>
      <top/>
      <bottom style="medium">
        <color indexed="64"/>
      </bottom>
      <diagonal/>
    </border>
    <border diagonalDown="1">
      <left style="thin">
        <color indexed="64"/>
      </left>
      <right style="medium">
        <color indexed="64"/>
      </right>
      <top/>
      <bottom style="medium">
        <color indexed="64"/>
      </bottom>
      <diagonal style="thin">
        <color indexed="64"/>
      </diagonal>
    </border>
    <border diagonalDown="1">
      <left style="medium">
        <color indexed="64"/>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diagonalDown="1">
      <left style="medium">
        <color indexed="64"/>
      </left>
      <right style="medium">
        <color indexed="64"/>
      </right>
      <top style="medium">
        <color indexed="64"/>
      </top>
      <bottom/>
      <diagonal style="medium">
        <color indexed="64"/>
      </diagonal>
    </border>
    <border diagonalDown="1">
      <left/>
      <right/>
      <top/>
      <bottom style="medium">
        <color indexed="64"/>
      </bottom>
      <diagonal style="thin">
        <color auto="1"/>
      </diagonal>
    </border>
    <border>
      <left/>
      <right style="thick">
        <color indexed="64"/>
      </right>
      <top style="thin">
        <color indexed="64"/>
      </top>
      <bottom style="thick">
        <color indexed="64"/>
      </bottom>
      <diagonal/>
    </border>
    <border>
      <left/>
      <right/>
      <top style="thin">
        <color indexed="64"/>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thick">
        <color indexed="64"/>
      </left>
      <right/>
      <top style="thick">
        <color indexed="64"/>
      </top>
      <bottom style="thin">
        <color indexed="64"/>
      </bottom>
      <diagonal/>
    </border>
    <border>
      <left style="thin">
        <color indexed="64"/>
      </left>
      <right style="thin">
        <color indexed="64"/>
      </right>
      <top/>
      <bottom/>
      <diagonal/>
    </border>
    <border>
      <left style="thick">
        <color auto="1"/>
      </left>
      <right style="thick">
        <color auto="1"/>
      </right>
      <top style="medium">
        <color auto="1"/>
      </top>
      <bottom style="medium">
        <color auto="1"/>
      </bottom>
      <diagonal/>
    </border>
    <border>
      <left style="double">
        <color indexed="64"/>
      </left>
      <right/>
      <top style="medium">
        <color indexed="64"/>
      </top>
      <bottom style="medium">
        <color indexed="64"/>
      </bottom>
      <diagonal/>
    </border>
    <border>
      <left style="double">
        <color indexed="64"/>
      </left>
      <right style="medium">
        <color indexed="64"/>
      </right>
      <top/>
      <bottom style="medium">
        <color indexed="64"/>
      </bottom>
      <diagonal/>
    </border>
    <border>
      <left style="thick">
        <color auto="1"/>
      </left>
      <right style="thick">
        <color auto="1"/>
      </right>
      <top style="double">
        <color indexed="64"/>
      </top>
      <bottom/>
      <diagonal/>
    </border>
    <border>
      <left style="double">
        <color indexed="64"/>
      </left>
      <right style="medium">
        <color indexed="64"/>
      </right>
      <top/>
      <bottom style="double">
        <color auto="1"/>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style="double">
        <color indexed="64"/>
      </bottom>
      <diagonal/>
    </border>
    <border>
      <left style="double">
        <color indexed="64"/>
      </left>
      <right style="medium">
        <color indexed="64"/>
      </right>
      <top style="medium">
        <color indexed="64"/>
      </top>
      <bottom/>
      <diagonal/>
    </border>
    <border>
      <left style="medium">
        <color indexed="64"/>
      </left>
      <right/>
      <top style="thin">
        <color indexed="64"/>
      </top>
      <bottom/>
      <diagonal/>
    </border>
    <border>
      <left style="double">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double">
        <color indexed="64"/>
      </left>
      <right style="medium">
        <color indexed="64"/>
      </right>
      <top style="double">
        <color indexed="64"/>
      </top>
      <bottom style="thin">
        <color indexed="64"/>
      </bottom>
      <diagonal/>
    </border>
    <border>
      <left/>
      <right style="double">
        <color indexed="64"/>
      </right>
      <top style="medium">
        <color auto="1"/>
      </top>
      <bottom style="double">
        <color auto="1"/>
      </bottom>
      <diagonal/>
    </border>
    <border>
      <left/>
      <right/>
      <top style="medium">
        <color auto="1"/>
      </top>
      <bottom style="double">
        <color auto="1"/>
      </bottom>
      <diagonal/>
    </border>
    <border>
      <left style="medium">
        <color indexed="64"/>
      </left>
      <right/>
      <top style="medium">
        <color auto="1"/>
      </top>
      <bottom style="double">
        <color auto="1"/>
      </bottom>
      <diagonal/>
    </border>
    <border>
      <left style="double">
        <color indexed="64"/>
      </left>
      <right style="medium">
        <color indexed="64"/>
      </right>
      <top style="thin">
        <color indexed="64"/>
      </top>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diagonalDown="1">
      <left/>
      <right style="medium">
        <color indexed="64"/>
      </right>
      <top/>
      <bottom style="medium">
        <color indexed="64"/>
      </bottom>
      <diagonal style="thin">
        <color indexed="64"/>
      </diagonal>
    </border>
    <border>
      <left style="medium">
        <color indexed="64"/>
      </left>
      <right/>
      <top style="thin">
        <color indexed="64"/>
      </top>
      <bottom style="double">
        <color indexed="64"/>
      </bottom>
      <diagonal/>
    </border>
    <border>
      <left/>
      <right/>
      <top style="double">
        <color indexed="64"/>
      </top>
      <bottom style="thin">
        <color indexed="64"/>
      </bottom>
      <diagonal/>
    </border>
    <border>
      <left style="medium">
        <color indexed="64"/>
      </left>
      <right/>
      <top style="double">
        <color indexed="64"/>
      </top>
      <bottom style="thin">
        <color indexed="64"/>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0" fontId="4" fillId="0" borderId="0"/>
    <xf numFmtId="164" fontId="1" fillId="0" borderId="0" applyFont="0" applyFill="0" applyBorder="0" applyAlignment="0" applyProtection="0"/>
  </cellStyleXfs>
  <cellXfs count="1851">
    <xf numFmtId="0" fontId="0" fillId="0" borderId="0" xfId="0"/>
    <xf numFmtId="0" fontId="5" fillId="0" borderId="0" xfId="4" applyFont="1" applyAlignment="1">
      <alignment vertical="center"/>
    </xf>
    <xf numFmtId="0" fontId="6" fillId="0" borderId="0" xfId="5" applyFont="1" applyAlignment="1">
      <alignment horizontal="left" vertical="center"/>
    </xf>
    <xf numFmtId="10" fontId="5" fillId="0" borderId="0" xfId="3" applyNumberFormat="1" applyFont="1" applyAlignment="1">
      <alignment vertical="center"/>
    </xf>
    <xf numFmtId="0" fontId="2" fillId="0" borderId="0" xfId="0" applyFont="1"/>
    <xf numFmtId="0" fontId="14" fillId="0" borderId="0" xfId="4" applyFont="1" applyAlignment="1">
      <alignment vertical="center"/>
    </xf>
    <xf numFmtId="164" fontId="0" fillId="0" borderId="0" xfId="0" applyNumberFormat="1"/>
    <xf numFmtId="10" fontId="5" fillId="0" borderId="0" xfId="4" applyNumberFormat="1" applyFont="1" applyAlignment="1">
      <alignment vertical="center"/>
    </xf>
    <xf numFmtId="0" fontId="23" fillId="0" borderId="0" xfId="0" applyFont="1"/>
    <xf numFmtId="44" fontId="0" fillId="0" borderId="0" xfId="2" applyFont="1" applyBorder="1"/>
    <xf numFmtId="0" fontId="0" fillId="0" borderId="0" xfId="0" applyAlignment="1">
      <alignment vertical="center"/>
    </xf>
    <xf numFmtId="44" fontId="17" fillId="0" borderId="0" xfId="2" applyFont="1" applyBorder="1"/>
    <xf numFmtId="44" fontId="0" fillId="0" borderId="0" xfId="2" applyFont="1"/>
    <xf numFmtId="0" fontId="3" fillId="0" borderId="0" xfId="0" applyFont="1"/>
    <xf numFmtId="0" fontId="24" fillId="0" borderId="0" xfId="0" applyFont="1"/>
    <xf numFmtId="0" fontId="8" fillId="0" borderId="0" xfId="4" applyFont="1" applyAlignment="1">
      <alignment vertical="center"/>
    </xf>
    <xf numFmtId="0" fontId="12" fillId="0" borderId="0" xfId="7" applyNumberFormat="1" applyFont="1" applyFill="1" applyBorder="1" applyAlignment="1" applyProtection="1">
      <alignment horizontal="center" vertical="center"/>
    </xf>
    <xf numFmtId="0" fontId="10" fillId="0" borderId="0" xfId="7" applyNumberFormat="1" applyFont="1" applyFill="1" applyBorder="1" applyAlignment="1" applyProtection="1">
      <alignment horizontal="center" vertical="center"/>
    </xf>
    <xf numFmtId="44" fontId="5" fillId="0" borderId="0" xfId="3" applyNumberFormat="1" applyFont="1" applyFill="1" applyBorder="1" applyAlignment="1">
      <alignment horizontal="center" vertical="center"/>
    </xf>
    <xf numFmtId="0" fontId="5" fillId="0" borderId="0" xfId="4" applyFont="1" applyAlignment="1">
      <alignment horizontal="left" vertical="center"/>
    </xf>
    <xf numFmtId="0" fontId="5" fillId="0" borderId="0" xfId="4" applyFont="1" applyAlignment="1" applyProtection="1">
      <alignment horizontal="center" vertical="center"/>
      <protection locked="0"/>
    </xf>
    <xf numFmtId="0" fontId="5" fillId="0" borderId="0" xfId="7" applyNumberFormat="1" applyFont="1" applyFill="1" applyBorder="1" applyAlignment="1" applyProtection="1">
      <alignment horizontal="center" vertical="center"/>
      <protection locked="0"/>
    </xf>
    <xf numFmtId="44" fontId="5" fillId="0" borderId="0" xfId="7" applyNumberFormat="1" applyFont="1" applyFill="1" applyBorder="1" applyAlignment="1" applyProtection="1">
      <alignment horizontal="center" vertical="center"/>
      <protection locked="0"/>
    </xf>
    <xf numFmtId="0" fontId="9" fillId="0" borderId="0" xfId="0" applyFont="1" applyAlignment="1">
      <alignment vertical="center"/>
    </xf>
    <xf numFmtId="0" fontId="16" fillId="0" borderId="0" xfId="0" applyFont="1"/>
    <xf numFmtId="164" fontId="3" fillId="0" borderId="0" xfId="0" applyNumberFormat="1" applyFont="1"/>
    <xf numFmtId="0" fontId="8" fillId="0" borderId="0" xfId="4" applyFont="1" applyAlignment="1">
      <alignment vertical="center" wrapText="1"/>
    </xf>
    <xf numFmtId="0" fontId="8" fillId="0" borderId="0" xfId="0" applyFont="1" applyAlignment="1">
      <alignment horizontal="center" vertical="center"/>
    </xf>
    <xf numFmtId="164" fontId="0" fillId="0" borderId="0" xfId="7" applyFont="1" applyFill="1" applyBorder="1"/>
    <xf numFmtId="164" fontId="0" fillId="0" borderId="0" xfId="7" applyFont="1" applyFill="1" applyBorder="1" applyAlignment="1">
      <alignment vertical="center"/>
    </xf>
    <xf numFmtId="0" fontId="5" fillId="0" borderId="0" xfId="4" applyFont="1" applyAlignment="1">
      <alignment horizontal="left" vertical="center" wrapText="1"/>
    </xf>
    <xf numFmtId="164" fontId="5" fillId="0" borderId="0" xfId="7" applyFont="1" applyFill="1" applyBorder="1" applyAlignment="1">
      <alignment horizontal="center" vertical="center"/>
    </xf>
    <xf numFmtId="0" fontId="0" fillId="0" borderId="0" xfId="0" applyAlignment="1">
      <alignment wrapText="1"/>
    </xf>
    <xf numFmtId="164" fontId="16" fillId="0" borderId="0" xfId="0" applyNumberFormat="1" applyFont="1" applyAlignment="1">
      <alignment vertical="center"/>
    </xf>
    <xf numFmtId="166" fontId="3" fillId="0" borderId="0" xfId="0" applyNumberFormat="1" applyFont="1"/>
    <xf numFmtId="10" fontId="5" fillId="0" borderId="0" xfId="3" applyNumberFormat="1" applyFont="1" applyFill="1" applyBorder="1" applyAlignment="1">
      <alignment horizontal="center" vertical="center"/>
    </xf>
    <xf numFmtId="166" fontId="0" fillId="0" borderId="0" xfId="0" applyNumberFormat="1"/>
    <xf numFmtId="9" fontId="0" fillId="0" borderId="0" xfId="3" applyFont="1" applyFill="1" applyBorder="1"/>
    <xf numFmtId="9" fontId="0" fillId="0" borderId="0" xfId="0" applyNumberFormat="1"/>
    <xf numFmtId="9" fontId="15" fillId="0" borderId="0" xfId="3" applyFont="1" applyFill="1" applyBorder="1"/>
    <xf numFmtId="44" fontId="10" fillId="0" borderId="0" xfId="3" applyNumberFormat="1" applyFont="1" applyFill="1" applyBorder="1" applyAlignment="1">
      <alignment horizontal="center" vertical="center"/>
    </xf>
    <xf numFmtId="0" fontId="12" fillId="0" borderId="0" xfId="4" applyFont="1" applyAlignment="1">
      <alignment horizontal="left" vertical="center"/>
    </xf>
    <xf numFmtId="10" fontId="12" fillId="0" borderId="0" xfId="3" applyNumberFormat="1" applyFont="1" applyFill="1" applyBorder="1" applyAlignment="1">
      <alignment horizontal="center" vertical="center"/>
    </xf>
    <xf numFmtId="10" fontId="5" fillId="0" borderId="0" xfId="3" applyNumberFormat="1" applyFont="1" applyFill="1" applyBorder="1" applyAlignment="1">
      <alignment vertical="center"/>
    </xf>
    <xf numFmtId="0" fontId="7" fillId="0" borderId="0" xfId="4" applyFont="1" applyAlignment="1">
      <alignment horizontal="right" vertical="center"/>
    </xf>
    <xf numFmtId="0" fontId="7" fillId="0" borderId="0" xfId="4" applyFont="1" applyAlignment="1">
      <alignment horizontal="center" vertical="center"/>
    </xf>
    <xf numFmtId="0" fontId="19" fillId="0" borderId="0" xfId="0" applyFont="1" applyAlignment="1">
      <alignment horizontal="center" vertical="center"/>
    </xf>
    <xf numFmtId="0" fontId="20" fillId="0" borderId="0" xfId="4" applyFont="1" applyAlignment="1">
      <alignment vertical="center"/>
    </xf>
    <xf numFmtId="44" fontId="19" fillId="0" borderId="0" xfId="2" applyFont="1" applyFill="1" applyBorder="1" applyAlignment="1">
      <alignment horizontal="center" vertical="center"/>
    </xf>
    <xf numFmtId="165" fontId="5" fillId="0" borderId="0" xfId="4" applyNumberFormat="1" applyFont="1" applyAlignment="1" applyProtection="1">
      <alignment horizontal="center" vertical="center"/>
      <protection locked="0"/>
    </xf>
    <xf numFmtId="43" fontId="10" fillId="3" borderId="1" xfId="1" applyFont="1" applyFill="1" applyBorder="1" applyAlignment="1">
      <alignment horizontal="center" vertical="center"/>
    </xf>
    <xf numFmtId="44" fontId="17" fillId="0" borderId="0" xfId="2" applyFont="1" applyFill="1" applyBorder="1"/>
    <xf numFmtId="0" fontId="18" fillId="3" borderId="12" xfId="4" applyFont="1" applyFill="1" applyBorder="1" applyAlignment="1">
      <alignment vertical="center"/>
    </xf>
    <xf numFmtId="43" fontId="11" fillId="3" borderId="1" xfId="1" applyFont="1" applyFill="1" applyBorder="1" applyAlignment="1">
      <alignment horizontal="center" vertical="center"/>
    </xf>
    <xf numFmtId="44" fontId="0" fillId="0" borderId="0" xfId="2" applyFont="1" applyFill="1" applyBorder="1"/>
    <xf numFmtId="0" fontId="8" fillId="0" borderId="0" xfId="4" applyFont="1" applyAlignment="1">
      <alignment horizontal="center" vertical="center"/>
    </xf>
    <xf numFmtId="44" fontId="17" fillId="0" borderId="0" xfId="2" applyFont="1" applyFill="1" applyBorder="1" applyAlignment="1">
      <alignment vertical="center"/>
    </xf>
    <xf numFmtId="44" fontId="23" fillId="0" borderId="0" xfId="2" applyFont="1" applyFill="1" applyBorder="1"/>
    <xf numFmtId="44" fontId="17" fillId="0" borderId="0" xfId="0" applyNumberFormat="1" applyFont="1"/>
    <xf numFmtId="44" fontId="3" fillId="0" borderId="0" xfId="2" applyFont="1" applyFill="1" applyBorder="1"/>
    <xf numFmtId="0" fontId="8" fillId="2" borderId="3" xfId="4" applyFont="1" applyFill="1" applyBorder="1" applyAlignment="1">
      <alignment horizontal="center" vertical="center"/>
    </xf>
    <xf numFmtId="0" fontId="8" fillId="2" borderId="4" xfId="4" applyFont="1" applyFill="1" applyBorder="1" applyAlignment="1">
      <alignment horizontal="center" vertical="center"/>
    </xf>
    <xf numFmtId="0" fontId="8" fillId="2" borderId="5" xfId="4" applyFont="1" applyFill="1" applyBorder="1" applyAlignment="1">
      <alignment horizontal="center" vertical="center"/>
    </xf>
    <xf numFmtId="0" fontId="17" fillId="0" borderId="0" xfId="0" applyFont="1"/>
    <xf numFmtId="0" fontId="3" fillId="0" borderId="0" xfId="0" applyFont="1" applyAlignment="1">
      <alignment vertical="center"/>
    </xf>
    <xf numFmtId="0" fontId="3" fillId="0" borderId="0" xfId="0" applyFont="1" applyAlignment="1">
      <alignment horizontal="center" vertical="center"/>
    </xf>
    <xf numFmtId="0" fontId="8" fillId="2" borderId="5" xfId="4" applyFont="1" applyFill="1" applyBorder="1" applyAlignment="1">
      <alignment vertical="center"/>
    </xf>
    <xf numFmtId="0" fontId="17" fillId="3" borderId="13" xfId="0" applyFont="1" applyFill="1" applyBorder="1"/>
    <xf numFmtId="0" fontId="17" fillId="3" borderId="14" xfId="0" applyFont="1" applyFill="1" applyBorder="1"/>
    <xf numFmtId="0" fontId="23" fillId="3" borderId="14" xfId="0" applyFont="1" applyFill="1" applyBorder="1"/>
    <xf numFmtId="0" fontId="17" fillId="3" borderId="14" xfId="0" applyFont="1" applyFill="1" applyBorder="1" applyAlignment="1">
      <alignment vertical="center" wrapText="1"/>
    </xf>
    <xf numFmtId="0" fontId="23" fillId="3" borderId="14" xfId="0" applyFont="1" applyFill="1" applyBorder="1" applyAlignment="1">
      <alignment wrapText="1"/>
    </xf>
    <xf numFmtId="0" fontId="23" fillId="3" borderId="15" xfId="0" applyFont="1" applyFill="1" applyBorder="1"/>
    <xf numFmtId="0" fontId="8" fillId="2" borderId="17" xfId="4" applyFont="1" applyFill="1" applyBorder="1" applyAlignment="1">
      <alignment horizontal="center" vertical="center"/>
    </xf>
    <xf numFmtId="0" fontId="8" fillId="2" borderId="18" xfId="4" applyFont="1" applyFill="1" applyBorder="1" applyAlignment="1">
      <alignment horizontal="center" vertical="center"/>
    </xf>
    <xf numFmtId="0" fontId="8" fillId="2" borderId="19" xfId="4" applyFont="1" applyFill="1" applyBorder="1" applyAlignment="1">
      <alignment horizontal="center" vertical="center"/>
    </xf>
    <xf numFmtId="0" fontId="23" fillId="3" borderId="20" xfId="0" applyFont="1" applyFill="1" applyBorder="1"/>
    <xf numFmtId="44" fontId="27" fillId="3" borderId="21" xfId="2" applyFont="1" applyFill="1" applyBorder="1" applyAlignment="1">
      <alignment horizontal="center" vertical="center"/>
    </xf>
    <xf numFmtId="44" fontId="27" fillId="3" borderId="1" xfId="2" applyFont="1" applyFill="1" applyBorder="1" applyAlignment="1">
      <alignment horizontal="center" vertical="center"/>
    </xf>
    <xf numFmtId="0" fontId="23" fillId="3" borderId="23" xfId="0" applyFont="1" applyFill="1" applyBorder="1"/>
    <xf numFmtId="44" fontId="27" fillId="3" borderId="25" xfId="2" applyFont="1" applyFill="1" applyBorder="1" applyAlignment="1">
      <alignment horizontal="center" vertical="center"/>
    </xf>
    <xf numFmtId="0" fontId="8" fillId="2" borderId="26" xfId="4" applyFont="1" applyFill="1" applyBorder="1" applyAlignment="1">
      <alignment horizontal="center" vertical="center"/>
    </xf>
    <xf numFmtId="0" fontId="28" fillId="3" borderId="27" xfId="0" applyFont="1" applyFill="1" applyBorder="1"/>
    <xf numFmtId="44" fontId="28" fillId="3" borderId="28" xfId="0" applyNumberFormat="1" applyFont="1" applyFill="1" applyBorder="1"/>
    <xf numFmtId="44" fontId="28" fillId="3" borderId="29" xfId="2" applyFont="1" applyFill="1" applyBorder="1"/>
    <xf numFmtId="0" fontId="28" fillId="3" borderId="28" xfId="0" applyFont="1" applyFill="1" applyBorder="1"/>
    <xf numFmtId="43" fontId="27" fillId="3" borderId="30" xfId="1" applyFont="1" applyFill="1" applyBorder="1" applyAlignment="1">
      <alignment vertical="center"/>
    </xf>
    <xf numFmtId="0" fontId="27" fillId="3" borderId="1" xfId="0" applyFont="1" applyFill="1" applyBorder="1"/>
    <xf numFmtId="0" fontId="18" fillId="3" borderId="34" xfId="4" applyFont="1" applyFill="1" applyBorder="1" applyAlignment="1">
      <alignment vertical="center"/>
    </xf>
    <xf numFmtId="0" fontId="18" fillId="3" borderId="35" xfId="4" applyFont="1" applyFill="1" applyBorder="1" applyAlignment="1">
      <alignment vertical="center"/>
    </xf>
    <xf numFmtId="0" fontId="5" fillId="3" borderId="20" xfId="4" applyFont="1" applyFill="1" applyBorder="1" applyAlignment="1">
      <alignment vertical="center"/>
    </xf>
    <xf numFmtId="44" fontId="10" fillId="3" borderId="22" xfId="2" applyFont="1" applyFill="1" applyBorder="1" applyAlignment="1">
      <alignment horizontal="center" vertical="center"/>
    </xf>
    <xf numFmtId="0" fontId="18" fillId="3" borderId="36" xfId="4" applyFont="1" applyFill="1" applyBorder="1" applyAlignment="1">
      <alignment vertical="center"/>
    </xf>
    <xf numFmtId="43" fontId="10" fillId="3" borderId="37" xfId="1" applyFont="1" applyFill="1" applyBorder="1" applyAlignment="1">
      <alignment horizontal="center" vertical="center"/>
    </xf>
    <xf numFmtId="44" fontId="10" fillId="3" borderId="38" xfId="2" applyFont="1" applyFill="1" applyBorder="1" applyAlignment="1">
      <alignment horizontal="center" vertical="center"/>
    </xf>
    <xf numFmtId="0" fontId="3" fillId="0" borderId="0" xfId="0" applyFont="1" applyAlignment="1">
      <alignment vertical="center" wrapText="1"/>
    </xf>
    <xf numFmtId="0" fontId="5" fillId="3" borderId="39" xfId="4" applyFont="1" applyFill="1" applyBorder="1" applyAlignment="1">
      <alignment vertical="center"/>
    </xf>
    <xf numFmtId="0" fontId="0" fillId="3" borderId="40" xfId="0" applyFill="1" applyBorder="1"/>
    <xf numFmtId="0" fontId="5" fillId="3" borderId="23" xfId="4" applyFont="1" applyFill="1" applyBorder="1" applyAlignment="1">
      <alignment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44" fontId="0" fillId="3" borderId="40" xfId="2" applyFont="1" applyFill="1" applyBorder="1" applyAlignment="1">
      <alignment horizontal="center" vertical="center"/>
    </xf>
    <xf numFmtId="0" fontId="8" fillId="2" borderId="7" xfId="4" applyFont="1" applyFill="1" applyBorder="1" applyAlignment="1">
      <alignment vertical="center"/>
    </xf>
    <xf numFmtId="3" fontId="13" fillId="3" borderId="43" xfId="7" applyNumberFormat="1" applyFont="1" applyFill="1" applyBorder="1" applyAlignment="1" applyProtection="1">
      <alignment horizontal="center" vertical="center"/>
      <protection locked="0"/>
    </xf>
    <xf numFmtId="0" fontId="12" fillId="0" borderId="0" xfId="4" applyFont="1" applyAlignment="1">
      <alignment vertical="center"/>
    </xf>
    <xf numFmtId="3" fontId="13" fillId="0" borderId="0" xfId="7" applyNumberFormat="1" applyFont="1" applyFill="1" applyBorder="1" applyAlignment="1" applyProtection="1">
      <alignment horizontal="center" vertical="center"/>
      <protection locked="0"/>
    </xf>
    <xf numFmtId="0" fontId="8" fillId="2" borderId="7" xfId="4" applyFont="1" applyFill="1" applyBorder="1" applyAlignment="1">
      <alignment horizontal="center" vertical="center"/>
    </xf>
    <xf numFmtId="0" fontId="8" fillId="2" borderId="7" xfId="4" applyFont="1" applyFill="1" applyBorder="1" applyAlignment="1">
      <alignment horizontal="center" vertical="center" wrapText="1"/>
    </xf>
    <xf numFmtId="10" fontId="10" fillId="3" borderId="22" xfId="2" applyNumberFormat="1" applyFont="1" applyFill="1" applyBorder="1" applyAlignment="1">
      <alignment horizontal="center" vertical="center"/>
    </xf>
    <xf numFmtId="9" fontId="13" fillId="3" borderId="45" xfId="3" applyFont="1" applyFill="1" applyBorder="1" applyAlignment="1">
      <alignment horizontal="center" vertical="center"/>
    </xf>
    <xf numFmtId="0" fontId="5" fillId="3" borderId="46" xfId="4" applyFont="1" applyFill="1" applyBorder="1" applyAlignment="1">
      <alignment horizontal="left" vertical="center"/>
    </xf>
    <xf numFmtId="9" fontId="10" fillId="3" borderId="47" xfId="3" applyFont="1" applyFill="1" applyBorder="1" applyAlignment="1">
      <alignment horizontal="center" vertical="center"/>
    </xf>
    <xf numFmtId="0" fontId="5" fillId="3" borderId="20" xfId="4" applyFont="1" applyFill="1" applyBorder="1" applyAlignment="1">
      <alignment horizontal="left" vertical="center"/>
    </xf>
    <xf numFmtId="9" fontId="13" fillId="3" borderId="22" xfId="3" applyFont="1" applyFill="1" applyBorder="1" applyAlignment="1">
      <alignment horizontal="center" vertical="center"/>
    </xf>
    <xf numFmtId="0" fontId="5" fillId="3" borderId="44" xfId="4" applyFont="1" applyFill="1" applyBorder="1" applyAlignment="1">
      <alignment vertical="center" wrapText="1"/>
    </xf>
    <xf numFmtId="9" fontId="10" fillId="3" borderId="45" xfId="3" applyFont="1" applyFill="1" applyBorder="1" applyAlignment="1">
      <alignment horizontal="center" vertical="center"/>
    </xf>
    <xf numFmtId="0" fontId="5" fillId="3" borderId="39" xfId="4" applyFont="1" applyFill="1" applyBorder="1" applyAlignment="1">
      <alignment horizontal="left" vertical="center" wrapText="1"/>
    </xf>
    <xf numFmtId="10" fontId="10" fillId="3" borderId="21" xfId="2" applyNumberFormat="1" applyFont="1" applyFill="1" applyBorder="1" applyAlignment="1">
      <alignment horizontal="center" vertical="center"/>
    </xf>
    <xf numFmtId="0" fontId="5" fillId="3" borderId="20" xfId="4" applyFont="1" applyFill="1" applyBorder="1" applyAlignment="1">
      <alignment horizontal="left" vertical="center" wrapText="1"/>
    </xf>
    <xf numFmtId="0" fontId="5" fillId="3" borderId="23" xfId="4" applyFont="1" applyFill="1" applyBorder="1" applyAlignment="1">
      <alignment horizontal="left" vertical="center" wrapText="1"/>
    </xf>
    <xf numFmtId="10" fontId="10" fillId="3" borderId="25" xfId="2" applyNumberFormat="1" applyFont="1" applyFill="1" applyBorder="1" applyAlignment="1">
      <alignment horizontal="center" vertical="center"/>
    </xf>
    <xf numFmtId="44" fontId="10" fillId="3" borderId="21" xfId="2" applyFont="1" applyFill="1" applyBorder="1" applyAlignment="1">
      <alignment horizontal="center" vertical="center"/>
    </xf>
    <xf numFmtId="0" fontId="8" fillId="2" borderId="48" xfId="6" applyFont="1" applyFill="1" applyBorder="1" applyAlignment="1">
      <alignment vertical="center"/>
    </xf>
    <xf numFmtId="0" fontId="8" fillId="2" borderId="3" xfId="4" applyFont="1" applyFill="1" applyBorder="1" applyAlignment="1">
      <alignment vertical="center"/>
    </xf>
    <xf numFmtId="165" fontId="10" fillId="3" borderId="49" xfId="2" applyNumberFormat="1" applyFont="1" applyFill="1" applyBorder="1" applyAlignment="1">
      <alignment horizontal="center" vertical="center"/>
    </xf>
    <xf numFmtId="0" fontId="5" fillId="3" borderId="15" xfId="4" applyFont="1" applyFill="1" applyBorder="1" applyAlignment="1">
      <alignment horizontal="left" vertical="center" wrapText="1"/>
    </xf>
    <xf numFmtId="3" fontId="13" fillId="3" borderId="50" xfId="7" applyNumberFormat="1" applyFont="1" applyFill="1" applyBorder="1" applyAlignment="1" applyProtection="1">
      <alignment horizontal="center" vertical="center"/>
      <protection locked="0"/>
    </xf>
    <xf numFmtId="0" fontId="8" fillId="2" borderId="3" xfId="6" applyFont="1" applyFill="1" applyBorder="1" applyAlignment="1">
      <alignment vertical="center"/>
    </xf>
    <xf numFmtId="0" fontId="8" fillId="2" borderId="5" xfId="6" applyFont="1" applyFill="1" applyBorder="1" applyAlignment="1">
      <alignment vertical="center"/>
    </xf>
    <xf numFmtId="0" fontId="10" fillId="3" borderId="22" xfId="4" applyFont="1" applyFill="1" applyBorder="1" applyAlignment="1" applyProtection="1">
      <alignment horizontal="center" vertical="center"/>
      <protection locked="0"/>
    </xf>
    <xf numFmtId="9" fontId="10" fillId="3" borderId="22" xfId="3" applyFont="1" applyFill="1" applyBorder="1" applyAlignment="1">
      <alignment horizontal="center" vertical="center"/>
    </xf>
    <xf numFmtId="0" fontId="10" fillId="3" borderId="22" xfId="4" applyFont="1" applyFill="1" applyBorder="1" applyAlignment="1">
      <alignment horizontal="center" vertical="center"/>
    </xf>
    <xf numFmtId="0" fontId="5" fillId="3" borderId="34" xfId="4" applyFont="1" applyFill="1" applyBorder="1" applyAlignment="1">
      <alignment vertical="center" wrapText="1"/>
    </xf>
    <xf numFmtId="0" fontId="5" fillId="3" borderId="15" xfId="4" applyFont="1" applyFill="1" applyBorder="1" applyAlignment="1">
      <alignment horizontal="left" vertical="center"/>
    </xf>
    <xf numFmtId="0" fontId="9" fillId="2" borderId="5" xfId="0" applyFont="1" applyFill="1" applyBorder="1" applyAlignment="1">
      <alignment vertical="center"/>
    </xf>
    <xf numFmtId="10" fontId="10" fillId="3" borderId="22" xfId="3" applyNumberFormat="1" applyFont="1" applyFill="1" applyBorder="1" applyAlignment="1">
      <alignment horizontal="center" vertical="center"/>
    </xf>
    <xf numFmtId="44" fontId="10" fillId="3" borderId="22" xfId="3" applyNumberFormat="1" applyFont="1" applyFill="1" applyBorder="1" applyAlignment="1">
      <alignment horizontal="center" vertical="center"/>
    </xf>
    <xf numFmtId="3" fontId="10" fillId="3" borderId="22" xfId="7" applyNumberFormat="1" applyFont="1" applyFill="1" applyBorder="1" applyAlignment="1" applyProtection="1">
      <alignment horizontal="center" vertical="center"/>
      <protection locked="0"/>
    </xf>
    <xf numFmtId="3" fontId="10" fillId="3" borderId="22" xfId="7" applyNumberFormat="1" applyFont="1" applyFill="1" applyBorder="1" applyAlignment="1" applyProtection="1">
      <alignment horizontal="center" vertical="center"/>
    </xf>
    <xf numFmtId="10" fontId="10" fillId="3" borderId="25" xfId="4" applyNumberFormat="1" applyFont="1" applyFill="1" applyBorder="1" applyAlignment="1" applyProtection="1">
      <alignment horizontal="center" vertical="center"/>
      <protection locked="0"/>
    </xf>
    <xf numFmtId="9" fontId="10" fillId="3" borderId="25" xfId="3" applyFont="1" applyFill="1" applyBorder="1" applyAlignment="1">
      <alignment horizontal="center" vertical="center"/>
    </xf>
    <xf numFmtId="10" fontId="10" fillId="3" borderId="25" xfId="3" applyNumberFormat="1" applyFont="1" applyFill="1" applyBorder="1" applyAlignment="1">
      <alignment horizontal="center" vertical="center"/>
    </xf>
    <xf numFmtId="0" fontId="12" fillId="3" borderId="22" xfId="7" applyNumberFormat="1" applyFont="1" applyFill="1" applyBorder="1" applyAlignment="1" applyProtection="1">
      <alignment horizontal="center" vertical="center"/>
    </xf>
    <xf numFmtId="0" fontId="10" fillId="3" borderId="22" xfId="7" applyNumberFormat="1" applyFont="1" applyFill="1" applyBorder="1" applyAlignment="1" applyProtection="1">
      <alignment horizontal="center" vertical="center"/>
    </xf>
    <xf numFmtId="43" fontId="10" fillId="3" borderId="22" xfId="1" applyFont="1" applyFill="1" applyBorder="1" applyAlignment="1" applyProtection="1">
      <alignment horizontal="center" vertical="center"/>
    </xf>
    <xf numFmtId="43" fontId="10" fillId="3" borderId="25" xfId="1" applyFont="1" applyFill="1" applyBorder="1" applyAlignment="1" applyProtection="1">
      <alignment horizontal="center" vertical="center"/>
    </xf>
    <xf numFmtId="9" fontId="11" fillId="3" borderId="22" xfId="3" applyFont="1" applyFill="1" applyBorder="1" applyAlignment="1">
      <alignment horizontal="center" vertical="center"/>
    </xf>
    <xf numFmtId="44" fontId="10" fillId="3" borderId="25" xfId="2" applyFont="1" applyFill="1" applyBorder="1" applyAlignment="1">
      <alignment horizontal="center" vertical="center"/>
    </xf>
    <xf numFmtId="0" fontId="5" fillId="3" borderId="46" xfId="4" applyFont="1" applyFill="1" applyBorder="1" applyAlignment="1">
      <alignment horizontal="left" vertical="center" wrapText="1"/>
    </xf>
    <xf numFmtId="0" fontId="10" fillId="3" borderId="25" xfId="4" applyFont="1" applyFill="1" applyBorder="1" applyAlignment="1" applyProtection="1">
      <alignment horizontal="center" vertical="center"/>
      <protection locked="0"/>
    </xf>
    <xf numFmtId="44" fontId="0" fillId="0" borderId="0" xfId="0" applyNumberFormat="1"/>
    <xf numFmtId="0" fontId="23" fillId="3" borderId="51" xfId="0" applyFont="1" applyFill="1" applyBorder="1"/>
    <xf numFmtId="0" fontId="25" fillId="0" borderId="0" xfId="0" applyFont="1"/>
    <xf numFmtId="44" fontId="25" fillId="0" borderId="0" xfId="0" applyNumberFormat="1" applyFont="1"/>
    <xf numFmtId="0" fontId="8" fillId="2" borderId="8" xfId="4" applyFont="1" applyFill="1" applyBorder="1" applyAlignment="1">
      <alignment vertical="center" wrapText="1"/>
    </xf>
    <xf numFmtId="0" fontId="0" fillId="3" borderId="20" xfId="0" applyFill="1" applyBorder="1" applyAlignment="1">
      <alignment vertical="center" wrapText="1"/>
    </xf>
    <xf numFmtId="0" fontId="0" fillId="3" borderId="23" xfId="0" applyFill="1" applyBorder="1" applyAlignment="1">
      <alignment vertical="center" wrapText="1"/>
    </xf>
    <xf numFmtId="0" fontId="0" fillId="3" borderId="39" xfId="0" applyFill="1" applyBorder="1" applyAlignment="1">
      <alignment vertical="center" wrapText="1"/>
    </xf>
    <xf numFmtId="0" fontId="0" fillId="3" borderId="52" xfId="0" applyFill="1" applyBorder="1" applyAlignment="1">
      <alignment vertical="center" wrapText="1"/>
    </xf>
    <xf numFmtId="0" fontId="0" fillId="3" borderId="54" xfId="0" applyFill="1" applyBorder="1" applyAlignment="1">
      <alignment vertical="center" wrapText="1"/>
    </xf>
    <xf numFmtId="0" fontId="0" fillId="3" borderId="55" xfId="0" applyFill="1" applyBorder="1" applyAlignment="1">
      <alignment vertical="center"/>
    </xf>
    <xf numFmtId="0" fontId="0" fillId="3" borderId="56" xfId="0" applyFill="1" applyBorder="1" applyAlignment="1">
      <alignment vertical="center"/>
    </xf>
    <xf numFmtId="0" fontId="0" fillId="3" borderId="11" xfId="0" applyFill="1" applyBorder="1" applyAlignment="1">
      <alignment vertical="center"/>
    </xf>
    <xf numFmtId="0" fontId="0" fillId="3" borderId="57" xfId="0" applyFill="1" applyBorder="1" applyAlignment="1">
      <alignment vertical="center"/>
    </xf>
    <xf numFmtId="44" fontId="0" fillId="3" borderId="57" xfId="2" applyFont="1" applyFill="1" applyBorder="1" applyAlignment="1">
      <alignment vertical="center"/>
    </xf>
    <xf numFmtId="44" fontId="27" fillId="3" borderId="1" xfId="2" applyFont="1" applyFill="1" applyBorder="1" applyAlignment="1">
      <alignment vertical="center"/>
    </xf>
    <xf numFmtId="44" fontId="27" fillId="3" borderId="55" xfId="2" applyFont="1" applyFill="1" applyBorder="1" applyAlignment="1">
      <alignment vertical="center"/>
    </xf>
    <xf numFmtId="44" fontId="30" fillId="3" borderId="55" xfId="2" applyFont="1" applyFill="1" applyBorder="1" applyAlignment="1">
      <alignment vertical="center"/>
    </xf>
    <xf numFmtId="0" fontId="8" fillId="2" borderId="32" xfId="4" applyFont="1" applyFill="1" applyBorder="1" applyAlignment="1">
      <alignment vertical="center" wrapText="1"/>
    </xf>
    <xf numFmtId="0" fontId="8" fillId="0" borderId="6" xfId="4" applyFont="1" applyBorder="1" applyAlignment="1">
      <alignment vertical="center" wrapText="1"/>
    </xf>
    <xf numFmtId="44" fontId="0" fillId="0" borderId="6" xfId="2" applyFont="1" applyFill="1" applyBorder="1" applyAlignment="1">
      <alignment vertical="center"/>
    </xf>
    <xf numFmtId="0" fontId="0" fillId="0" borderId="6" xfId="0" applyBorder="1"/>
    <xf numFmtId="0" fontId="27" fillId="3" borderId="10" xfId="0" applyFont="1" applyFill="1" applyBorder="1" applyAlignment="1">
      <alignment vertical="center"/>
    </xf>
    <xf numFmtId="0" fontId="27" fillId="3" borderId="59" xfId="0" applyFont="1" applyFill="1" applyBorder="1" applyAlignment="1">
      <alignment vertical="center"/>
    </xf>
    <xf numFmtId="0" fontId="3" fillId="0" borderId="0" xfId="0" applyFont="1" applyAlignment="1">
      <alignment horizontal="center" vertical="center" wrapText="1"/>
    </xf>
    <xf numFmtId="44" fontId="3" fillId="0" borderId="0" xfId="2" applyFont="1" applyBorder="1" applyAlignment="1">
      <alignment horizontal="center" vertical="center" wrapText="1"/>
    </xf>
    <xf numFmtId="0" fontId="17" fillId="0" borderId="0" xfId="0" applyFont="1" applyAlignment="1">
      <alignment vertical="center" wrapText="1"/>
    </xf>
    <xf numFmtId="0" fontId="17" fillId="0" borderId="0" xfId="0" applyFont="1" applyAlignment="1">
      <alignment vertical="center"/>
    </xf>
    <xf numFmtId="44" fontId="17" fillId="0" borderId="0" xfId="0" applyNumberFormat="1" applyFont="1" applyAlignment="1">
      <alignment vertical="center"/>
    </xf>
    <xf numFmtId="44" fontId="3" fillId="0" borderId="0" xfId="0" applyNumberFormat="1" applyFont="1"/>
    <xf numFmtId="0" fontId="8" fillId="2" borderId="31" xfId="4" applyFont="1" applyFill="1" applyBorder="1" applyAlignment="1">
      <alignment vertical="center" wrapText="1"/>
    </xf>
    <xf numFmtId="10" fontId="10" fillId="3" borderId="16" xfId="3" applyNumberFormat="1" applyFont="1" applyFill="1" applyBorder="1" applyAlignment="1">
      <alignment horizontal="center" vertical="center"/>
    </xf>
    <xf numFmtId="44" fontId="5" fillId="3" borderId="22" xfId="2" applyFont="1" applyFill="1" applyBorder="1" applyAlignment="1">
      <alignment horizontal="left" vertical="center"/>
    </xf>
    <xf numFmtId="167" fontId="11" fillId="3" borderId="61" xfId="1" applyNumberFormat="1" applyFont="1" applyFill="1" applyBorder="1" applyAlignment="1">
      <alignment horizontal="center" vertical="center"/>
    </xf>
    <xf numFmtId="44" fontId="5" fillId="3" borderId="49" xfId="2" applyFont="1" applyFill="1" applyBorder="1" applyAlignment="1">
      <alignment horizontal="left" vertical="center"/>
    </xf>
    <xf numFmtId="44" fontId="5" fillId="3" borderId="64" xfId="2" applyFont="1" applyFill="1" applyBorder="1" applyAlignment="1">
      <alignment horizontal="left" vertical="center"/>
    </xf>
    <xf numFmtId="0" fontId="0" fillId="3" borderId="20" xfId="0" applyFill="1" applyBorder="1" applyAlignment="1">
      <alignment vertical="center"/>
    </xf>
    <xf numFmtId="0" fontId="0" fillId="3" borderId="22" xfId="0" applyFill="1" applyBorder="1" applyAlignment="1">
      <alignment vertical="center" wrapText="1"/>
    </xf>
    <xf numFmtId="0" fontId="0" fillId="3" borderId="23" xfId="0" applyFill="1" applyBorder="1" applyAlignment="1">
      <alignment vertical="center"/>
    </xf>
    <xf numFmtId="0" fontId="0" fillId="3" borderId="25" xfId="0" applyFill="1" applyBorder="1" applyAlignment="1">
      <alignment vertical="center" wrapText="1"/>
    </xf>
    <xf numFmtId="0" fontId="0" fillId="3" borderId="39" xfId="0" applyFill="1" applyBorder="1" applyAlignment="1">
      <alignment vertical="center"/>
    </xf>
    <xf numFmtId="0" fontId="0" fillId="3" borderId="21" xfId="0" applyFill="1" applyBorder="1" applyAlignment="1">
      <alignment vertical="center" wrapText="1"/>
    </xf>
    <xf numFmtId="168" fontId="27" fillId="3" borderId="67" xfId="0" applyNumberFormat="1" applyFont="1" applyFill="1" applyBorder="1"/>
    <xf numFmtId="0" fontId="0" fillId="3" borderId="68" xfId="0" applyFill="1" applyBorder="1"/>
    <xf numFmtId="0" fontId="0" fillId="3" borderId="69" xfId="0" applyFill="1" applyBorder="1"/>
    <xf numFmtId="10" fontId="10" fillId="3" borderId="63" xfId="3" applyNumberFormat="1" applyFont="1" applyFill="1" applyBorder="1" applyAlignment="1">
      <alignment horizontal="center" vertical="center"/>
    </xf>
    <xf numFmtId="10" fontId="10" fillId="3" borderId="61" xfId="3" applyNumberFormat="1" applyFont="1" applyFill="1" applyBorder="1" applyAlignment="1">
      <alignment horizontal="center" vertical="center"/>
    </xf>
    <xf numFmtId="9" fontId="27" fillId="3" borderId="2" xfId="0" applyNumberFormat="1" applyFont="1" applyFill="1" applyBorder="1" applyAlignment="1">
      <alignment horizontal="center" vertical="center"/>
    </xf>
    <xf numFmtId="9" fontId="27" fillId="3" borderId="1" xfId="0" applyNumberFormat="1" applyFont="1" applyFill="1" applyBorder="1" applyAlignment="1">
      <alignment horizontal="center" vertical="center"/>
    </xf>
    <xf numFmtId="9" fontId="27" fillId="3" borderId="24" xfId="0" applyNumberFormat="1" applyFont="1" applyFill="1" applyBorder="1" applyAlignment="1">
      <alignment horizontal="center" vertical="center"/>
    </xf>
    <xf numFmtId="0" fontId="8" fillId="0" borderId="0" xfId="4" applyFont="1" applyAlignment="1">
      <alignment horizontal="left" vertical="center"/>
    </xf>
    <xf numFmtId="0" fontId="31" fillId="0" borderId="0" xfId="0" applyFont="1" applyAlignment="1">
      <alignment vertical="center"/>
    </xf>
    <xf numFmtId="0" fontId="8" fillId="2" borderId="65" xfId="4" applyFont="1" applyFill="1" applyBorder="1" applyAlignment="1">
      <alignment horizontal="center" vertical="center"/>
    </xf>
    <xf numFmtId="0" fontId="8" fillId="2" borderId="66" xfId="4" applyFont="1" applyFill="1" applyBorder="1" applyAlignment="1">
      <alignment horizontal="center" vertical="center"/>
    </xf>
    <xf numFmtId="0" fontId="3" fillId="3" borderId="22" xfId="0" applyFont="1" applyFill="1" applyBorder="1" applyAlignment="1">
      <alignment horizontal="center" vertical="center"/>
    </xf>
    <xf numFmtId="0" fontId="3" fillId="3" borderId="25" xfId="0" applyFont="1" applyFill="1" applyBorder="1" applyAlignment="1">
      <alignment horizontal="center" vertical="center"/>
    </xf>
    <xf numFmtId="43" fontId="10" fillId="3" borderId="22" xfId="1" applyFont="1" applyFill="1" applyBorder="1" applyAlignment="1">
      <alignment horizontal="center" vertical="center"/>
    </xf>
    <xf numFmtId="43" fontId="10" fillId="3" borderId="25" xfId="1" applyFont="1" applyFill="1" applyBorder="1" applyAlignment="1">
      <alignment horizontal="center" vertical="center"/>
    </xf>
    <xf numFmtId="0" fontId="8" fillId="2" borderId="3" xfId="4" applyFont="1" applyFill="1" applyBorder="1" applyAlignment="1">
      <alignment vertical="center" wrapText="1"/>
    </xf>
    <xf numFmtId="0" fontId="8" fillId="2" borderId="5" xfId="0" applyFont="1" applyFill="1" applyBorder="1" applyAlignment="1">
      <alignment horizontal="center" vertical="center" wrapText="1"/>
    </xf>
    <xf numFmtId="49" fontId="10" fillId="3" borderId="22" xfId="7" applyNumberFormat="1" applyFont="1" applyFill="1" applyBorder="1" applyAlignment="1" applyProtection="1">
      <alignment horizontal="center" vertical="center"/>
    </xf>
    <xf numFmtId="49" fontId="10" fillId="3" borderId="25" xfId="7" applyNumberFormat="1" applyFont="1" applyFill="1" applyBorder="1" applyAlignment="1" applyProtection="1">
      <alignment horizontal="center" vertical="center"/>
    </xf>
    <xf numFmtId="2" fontId="27" fillId="3" borderId="70" xfId="0" applyNumberFormat="1" applyFont="1" applyFill="1" applyBorder="1"/>
    <xf numFmtId="43" fontId="27" fillId="3" borderId="2" xfId="1" applyFont="1" applyFill="1" applyBorder="1"/>
    <xf numFmtId="0" fontId="27" fillId="3" borderId="2" xfId="0" applyFont="1" applyFill="1" applyBorder="1"/>
    <xf numFmtId="43" fontId="27" fillId="3" borderId="1" xfId="1" applyFont="1" applyFill="1" applyBorder="1"/>
    <xf numFmtId="43" fontId="27" fillId="3" borderId="24" xfId="1" applyFont="1" applyFill="1" applyBorder="1"/>
    <xf numFmtId="0" fontId="27" fillId="3" borderId="24" xfId="0" applyFont="1" applyFill="1" applyBorder="1"/>
    <xf numFmtId="0" fontId="8" fillId="2" borderId="7" xfId="4" applyFont="1" applyFill="1" applyBorder="1" applyAlignment="1">
      <alignment vertical="center" wrapText="1"/>
    </xf>
    <xf numFmtId="44" fontId="3" fillId="4" borderId="71" xfId="0" applyNumberFormat="1" applyFont="1" applyFill="1" applyBorder="1" applyAlignment="1">
      <alignment wrapText="1"/>
    </xf>
    <xf numFmtId="44" fontId="19" fillId="3" borderId="72" xfId="0" applyNumberFormat="1" applyFont="1" applyFill="1" applyBorder="1" applyAlignment="1">
      <alignment horizontal="center" vertical="center"/>
    </xf>
    <xf numFmtId="49" fontId="10" fillId="3" borderId="22" xfId="7" applyNumberFormat="1" applyFont="1" applyFill="1" applyBorder="1" applyAlignment="1">
      <alignment horizontal="center" vertical="center"/>
    </xf>
    <xf numFmtId="49" fontId="10" fillId="3" borderId="25" xfId="7" applyNumberFormat="1" applyFont="1" applyFill="1" applyBorder="1" applyAlignment="1">
      <alignment horizontal="center" vertical="center"/>
    </xf>
    <xf numFmtId="0" fontId="8" fillId="2" borderId="0" xfId="4" applyFont="1" applyFill="1" applyAlignment="1">
      <alignment vertical="center" wrapText="1"/>
    </xf>
    <xf numFmtId="0" fontId="8" fillId="2" borderId="73" xfId="4" applyFont="1" applyFill="1" applyBorder="1" applyAlignment="1">
      <alignment vertical="center" wrapText="1"/>
    </xf>
    <xf numFmtId="169" fontId="10" fillId="3" borderId="74" xfId="1" applyNumberFormat="1" applyFont="1" applyFill="1" applyBorder="1" applyAlignment="1">
      <alignment horizontal="center" vertical="center"/>
    </xf>
    <xf numFmtId="0" fontId="8" fillId="2" borderId="73" xfId="4" applyFont="1" applyFill="1" applyBorder="1" applyAlignment="1">
      <alignment horizontal="center" vertical="center" wrapText="1"/>
    </xf>
    <xf numFmtId="0" fontId="5" fillId="0" borderId="75" xfId="4" applyFont="1" applyBorder="1" applyAlignment="1">
      <alignment horizontal="center" vertical="center"/>
    </xf>
    <xf numFmtId="9" fontId="8" fillId="2" borderId="5" xfId="3" applyFont="1" applyFill="1" applyBorder="1" applyAlignment="1">
      <alignment horizontal="center" vertical="center"/>
    </xf>
    <xf numFmtId="0" fontId="5" fillId="3" borderId="39" xfId="4" applyFont="1" applyFill="1" applyBorder="1" applyAlignment="1">
      <alignment vertical="center" wrapText="1"/>
    </xf>
    <xf numFmtId="0" fontId="5" fillId="3" borderId="20" xfId="4" applyFont="1" applyFill="1" applyBorder="1" applyAlignment="1">
      <alignment vertical="center" wrapText="1"/>
    </xf>
    <xf numFmtId="0" fontId="0" fillId="5" borderId="0" xfId="0" applyFill="1"/>
    <xf numFmtId="0" fontId="5" fillId="3" borderId="23" xfId="4" applyFont="1" applyFill="1" applyBorder="1" applyAlignment="1">
      <alignment vertical="center" wrapText="1"/>
    </xf>
    <xf numFmtId="0" fontId="8" fillId="2" borderId="5" xfId="4" applyFont="1" applyFill="1" applyBorder="1" applyAlignment="1">
      <alignment horizontal="center" vertical="center" wrapText="1"/>
    </xf>
    <xf numFmtId="0" fontId="0" fillId="0" borderId="77" xfId="0" applyBorder="1" applyAlignment="1">
      <alignment vertical="center"/>
    </xf>
    <xf numFmtId="0" fontId="0" fillId="0" borderId="78" xfId="0" applyBorder="1" applyAlignment="1">
      <alignment vertical="center"/>
    </xf>
    <xf numFmtId="0" fontId="0" fillId="0" borderId="78" xfId="0" applyBorder="1" applyAlignment="1">
      <alignment vertical="center" wrapText="1"/>
    </xf>
    <xf numFmtId="0" fontId="5" fillId="6" borderId="36" xfId="4" applyFont="1" applyFill="1" applyBorder="1" applyAlignment="1">
      <alignment horizontal="left" vertical="center" wrapText="1"/>
    </xf>
    <xf numFmtId="0" fontId="33" fillId="0" borderId="76" xfId="0" applyFont="1" applyBorder="1" applyAlignment="1">
      <alignment horizontal="center" vertical="center"/>
    </xf>
    <xf numFmtId="0" fontId="10" fillId="3" borderId="22" xfId="7" applyNumberFormat="1" applyFont="1" applyFill="1" applyBorder="1" applyAlignment="1">
      <alignment horizontal="center" vertical="center"/>
    </xf>
    <xf numFmtId="0" fontId="8" fillId="2" borderId="80" xfId="4" applyFont="1" applyFill="1" applyBorder="1" applyAlignment="1">
      <alignment horizontal="center" vertical="center"/>
    </xf>
    <xf numFmtId="0" fontId="34" fillId="7" borderId="81" xfId="4" applyFont="1" applyFill="1" applyBorder="1" applyAlignment="1">
      <alignment horizontal="center" vertical="center"/>
    </xf>
    <xf numFmtId="0" fontId="15" fillId="3" borderId="20" xfId="4" applyFont="1" applyFill="1" applyBorder="1" applyAlignment="1">
      <alignment vertical="center"/>
    </xf>
    <xf numFmtId="0" fontId="15" fillId="3" borderId="34" xfId="4" applyFont="1" applyFill="1" applyBorder="1" applyAlignment="1">
      <alignment vertical="center"/>
    </xf>
    <xf numFmtId="0" fontId="15" fillId="3" borderId="62" xfId="4" applyFont="1" applyFill="1" applyBorder="1" applyAlignment="1">
      <alignment vertical="center"/>
    </xf>
    <xf numFmtId="0" fontId="8" fillId="2" borderId="65" xfId="4" applyFont="1" applyFill="1" applyBorder="1" applyAlignment="1">
      <alignment horizontal="left" vertical="center"/>
    </xf>
    <xf numFmtId="0" fontId="33" fillId="0" borderId="78" xfId="0" applyFont="1" applyBorder="1" applyAlignment="1">
      <alignment vertical="center" wrapText="1"/>
    </xf>
    <xf numFmtId="0" fontId="35" fillId="7" borderId="81" xfId="4" applyFont="1" applyFill="1" applyBorder="1" applyAlignment="1">
      <alignment horizontal="center" vertical="center"/>
    </xf>
    <xf numFmtId="49" fontId="37" fillId="3" borderId="22" xfId="7" applyNumberFormat="1" applyFont="1" applyFill="1" applyBorder="1" applyAlignment="1">
      <alignment horizontal="center" vertical="center"/>
    </xf>
    <xf numFmtId="49" fontId="37" fillId="3" borderId="25" xfId="7" applyNumberFormat="1" applyFont="1" applyFill="1" applyBorder="1" applyAlignment="1">
      <alignment horizontal="center" vertical="center"/>
    </xf>
    <xf numFmtId="49" fontId="37" fillId="3" borderId="22" xfId="7" applyNumberFormat="1" applyFont="1" applyFill="1" applyBorder="1" applyAlignment="1" applyProtection="1">
      <alignment horizontal="center" vertical="center"/>
    </xf>
    <xf numFmtId="49" fontId="37" fillId="3" borderId="25" xfId="7" applyNumberFormat="1" applyFont="1" applyFill="1" applyBorder="1" applyAlignment="1" applyProtection="1">
      <alignment horizontal="center" vertical="center"/>
    </xf>
    <xf numFmtId="0" fontId="37" fillId="3" borderId="22" xfId="4" applyFont="1" applyFill="1" applyBorder="1" applyAlignment="1" applyProtection="1">
      <alignment horizontal="center" vertical="center"/>
      <protection locked="0"/>
    </xf>
    <xf numFmtId="9" fontId="37" fillId="3" borderId="22" xfId="3" applyFont="1" applyFill="1" applyBorder="1" applyAlignment="1">
      <alignment horizontal="center" vertical="center"/>
    </xf>
    <xf numFmtId="0" fontId="37" fillId="3" borderId="22" xfId="4" applyFont="1" applyFill="1" applyBorder="1" applyAlignment="1">
      <alignment horizontal="center" vertical="center"/>
    </xf>
    <xf numFmtId="9" fontId="38" fillId="3" borderId="22" xfId="3" applyFont="1" applyFill="1" applyBorder="1" applyAlignment="1">
      <alignment horizontal="center" vertical="center"/>
    </xf>
    <xf numFmtId="10" fontId="37" fillId="3" borderId="16" xfId="3" applyNumberFormat="1" applyFont="1" applyFill="1" applyBorder="1" applyAlignment="1">
      <alignment horizontal="center" vertical="center"/>
    </xf>
    <xf numFmtId="43" fontId="37" fillId="3" borderId="22" xfId="1" applyFont="1" applyFill="1" applyBorder="1" applyAlignment="1" applyProtection="1">
      <alignment horizontal="center" vertical="center"/>
    </xf>
    <xf numFmtId="43" fontId="37" fillId="3" borderId="25" xfId="1" applyFont="1" applyFill="1" applyBorder="1" applyAlignment="1" applyProtection="1">
      <alignment horizontal="center" vertical="center"/>
    </xf>
    <xf numFmtId="0" fontId="38" fillId="3" borderId="22" xfId="7" applyNumberFormat="1" applyFont="1" applyFill="1" applyBorder="1" applyAlignment="1">
      <alignment horizontal="center" vertical="center"/>
    </xf>
    <xf numFmtId="0" fontId="38" fillId="3" borderId="22" xfId="7" applyNumberFormat="1" applyFont="1" applyFill="1" applyBorder="1" applyAlignment="1" applyProtection="1">
      <alignment horizontal="center" vertical="center"/>
    </xf>
    <xf numFmtId="10" fontId="37" fillId="3" borderId="22" xfId="3" applyNumberFormat="1" applyFont="1" applyFill="1" applyBorder="1" applyAlignment="1">
      <alignment horizontal="center" vertical="center"/>
    </xf>
    <xf numFmtId="3" fontId="37" fillId="3" borderId="22" xfId="7" applyNumberFormat="1" applyFont="1" applyFill="1" applyBorder="1" applyAlignment="1" applyProtection="1">
      <alignment horizontal="center" vertical="center"/>
      <protection locked="0"/>
    </xf>
    <xf numFmtId="3" fontId="37" fillId="3" borderId="22" xfId="7" applyNumberFormat="1" applyFont="1" applyFill="1" applyBorder="1" applyAlignment="1" applyProtection="1">
      <alignment horizontal="center" vertical="center"/>
    </xf>
    <xf numFmtId="10" fontId="37" fillId="3" borderId="25" xfId="4" applyNumberFormat="1" applyFont="1" applyFill="1" applyBorder="1" applyAlignment="1" applyProtection="1">
      <alignment horizontal="center" vertical="center"/>
      <protection locked="0"/>
    </xf>
    <xf numFmtId="44" fontId="37" fillId="3" borderId="22" xfId="3" applyNumberFormat="1" applyFont="1" applyFill="1" applyBorder="1" applyAlignment="1">
      <alignment horizontal="center" vertical="center"/>
    </xf>
    <xf numFmtId="44" fontId="37" fillId="3" borderId="22" xfId="2" applyFont="1" applyFill="1" applyBorder="1" applyAlignment="1">
      <alignment horizontal="center" vertical="center"/>
    </xf>
    <xf numFmtId="44" fontId="37" fillId="3" borderId="25" xfId="2" applyFont="1" applyFill="1" applyBorder="1" applyAlignment="1">
      <alignment horizontal="center" vertical="center"/>
    </xf>
    <xf numFmtId="9" fontId="37" fillId="3" borderId="47" xfId="3" applyFont="1" applyFill="1" applyBorder="1" applyAlignment="1">
      <alignment horizontal="center" vertical="center"/>
    </xf>
    <xf numFmtId="0" fontId="37" fillId="3" borderId="25" xfId="4" applyFont="1" applyFill="1" applyBorder="1" applyAlignment="1" applyProtection="1">
      <alignment horizontal="center" vertical="center"/>
      <protection locked="0"/>
    </xf>
    <xf numFmtId="44" fontId="37" fillId="3" borderId="21" xfId="2" applyFont="1" applyFill="1" applyBorder="1" applyAlignment="1">
      <alignment horizontal="center" vertical="center"/>
    </xf>
    <xf numFmtId="10" fontId="37" fillId="3" borderId="22" xfId="2" applyNumberFormat="1" applyFont="1" applyFill="1" applyBorder="1" applyAlignment="1">
      <alignment horizontal="center" vertical="center"/>
    </xf>
    <xf numFmtId="9" fontId="38" fillId="3" borderId="45" xfId="3" applyFont="1" applyFill="1" applyBorder="1" applyAlignment="1">
      <alignment horizontal="center" vertical="center"/>
    </xf>
    <xf numFmtId="9" fontId="37" fillId="3" borderId="45" xfId="3" applyFont="1" applyFill="1" applyBorder="1" applyAlignment="1">
      <alignment horizontal="center" vertical="center"/>
    </xf>
    <xf numFmtId="10" fontId="37" fillId="3" borderId="21" xfId="2" applyNumberFormat="1" applyFont="1" applyFill="1" applyBorder="1" applyAlignment="1">
      <alignment horizontal="center" vertical="center"/>
    </xf>
    <xf numFmtId="10" fontId="37" fillId="3" borderId="25" xfId="2" applyNumberFormat="1" applyFont="1" applyFill="1" applyBorder="1" applyAlignment="1">
      <alignment horizontal="center" vertical="center"/>
    </xf>
    <xf numFmtId="9" fontId="37" fillId="3" borderId="25" xfId="3" applyFont="1" applyFill="1" applyBorder="1" applyAlignment="1">
      <alignment horizontal="center" vertical="center"/>
    </xf>
    <xf numFmtId="10" fontId="37" fillId="3" borderId="25" xfId="3" applyNumberFormat="1" applyFont="1" applyFill="1" applyBorder="1" applyAlignment="1">
      <alignment horizontal="center" vertical="center"/>
    </xf>
    <xf numFmtId="165" fontId="37" fillId="3" borderId="49" xfId="2" applyNumberFormat="1" applyFont="1" applyFill="1" applyBorder="1" applyAlignment="1">
      <alignment horizontal="center" vertical="center"/>
    </xf>
    <xf numFmtId="3" fontId="38" fillId="3" borderId="50" xfId="7" applyNumberFormat="1" applyFont="1" applyFill="1" applyBorder="1" applyAlignment="1" applyProtection="1">
      <alignment horizontal="center" vertical="center"/>
      <protection locked="0"/>
    </xf>
    <xf numFmtId="10" fontId="38" fillId="3" borderId="22" xfId="3" applyNumberFormat="1" applyFont="1" applyFill="1" applyBorder="1" applyAlignment="1">
      <alignment vertical="center"/>
    </xf>
    <xf numFmtId="10" fontId="38" fillId="3" borderId="25" xfId="3" applyNumberFormat="1" applyFont="1" applyFill="1" applyBorder="1" applyAlignment="1">
      <alignment vertical="center"/>
    </xf>
    <xf numFmtId="44" fontId="39" fillId="3" borderId="72" xfId="0" applyNumberFormat="1" applyFont="1" applyFill="1" applyBorder="1" applyAlignment="1">
      <alignment horizontal="center" vertical="center"/>
    </xf>
    <xf numFmtId="169" fontId="37" fillId="3" borderId="74" xfId="1" applyNumberFormat="1" applyFont="1" applyFill="1" applyBorder="1" applyAlignment="1">
      <alignment horizontal="center" vertical="center"/>
    </xf>
    <xf numFmtId="43" fontId="37" fillId="3" borderId="1" xfId="1" applyFont="1" applyFill="1" applyBorder="1" applyAlignment="1">
      <alignment horizontal="center" vertical="center"/>
    </xf>
    <xf numFmtId="43" fontId="37" fillId="3" borderId="37" xfId="1" applyFont="1" applyFill="1" applyBorder="1" applyAlignment="1">
      <alignment horizontal="center" vertical="center"/>
    </xf>
    <xf numFmtId="44" fontId="37" fillId="3" borderId="38" xfId="2" applyFont="1" applyFill="1" applyBorder="1" applyAlignment="1">
      <alignment horizontal="center" vertical="center"/>
    </xf>
    <xf numFmtId="0" fontId="40" fillId="3" borderId="1" xfId="0" applyFont="1" applyFill="1" applyBorder="1"/>
    <xf numFmtId="10" fontId="40" fillId="3" borderId="1" xfId="0" applyNumberFormat="1" applyFont="1" applyFill="1" applyBorder="1"/>
    <xf numFmtId="44" fontId="40" fillId="3" borderId="24" xfId="2" applyFont="1" applyFill="1" applyBorder="1"/>
    <xf numFmtId="44" fontId="40" fillId="3" borderId="22" xfId="2" applyFont="1" applyFill="1" applyBorder="1"/>
    <xf numFmtId="44" fontId="40" fillId="3" borderId="25" xfId="2" applyFont="1" applyFill="1" applyBorder="1"/>
    <xf numFmtId="44" fontId="40" fillId="3" borderId="21" xfId="2" applyFont="1" applyFill="1" applyBorder="1"/>
    <xf numFmtId="43" fontId="41" fillId="3" borderId="9" xfId="1" applyFont="1" applyFill="1" applyBorder="1"/>
    <xf numFmtId="43" fontId="42" fillId="3" borderId="9" xfId="1" applyFont="1" applyFill="1" applyBorder="1"/>
    <xf numFmtId="10" fontId="42" fillId="3" borderId="9" xfId="3" applyNumberFormat="1" applyFont="1" applyFill="1" applyBorder="1"/>
    <xf numFmtId="44" fontId="41" fillId="3" borderId="22" xfId="2" applyFont="1" applyFill="1" applyBorder="1"/>
    <xf numFmtId="44" fontId="42" fillId="3" borderId="22" xfId="2" applyFont="1" applyFill="1" applyBorder="1" applyAlignment="1">
      <alignment vertical="center"/>
    </xf>
    <xf numFmtId="44" fontId="42" fillId="3" borderId="22" xfId="2" applyFont="1" applyFill="1" applyBorder="1"/>
    <xf numFmtId="43" fontId="40" fillId="3" borderId="9" xfId="1" applyFont="1" applyFill="1" applyBorder="1"/>
    <xf numFmtId="43" fontId="40" fillId="3" borderId="9" xfId="1" applyFont="1" applyFill="1" applyBorder="1" applyAlignment="1">
      <alignment vertical="center"/>
    </xf>
    <xf numFmtId="43" fontId="40" fillId="3" borderId="30" xfId="1" applyFont="1" applyFill="1" applyBorder="1" applyAlignment="1">
      <alignment vertical="center"/>
    </xf>
    <xf numFmtId="44" fontId="40" fillId="3" borderId="1" xfId="2" applyFont="1" applyFill="1" applyBorder="1" applyAlignment="1">
      <alignment horizontal="center" vertical="center"/>
    </xf>
    <xf numFmtId="44" fontId="40" fillId="3" borderId="21" xfId="2" applyFont="1" applyFill="1" applyBorder="1" applyAlignment="1">
      <alignment horizontal="center" vertical="center"/>
    </xf>
    <xf numFmtId="44" fontId="40" fillId="3" borderId="25" xfId="2" applyFont="1" applyFill="1" applyBorder="1" applyAlignment="1">
      <alignment horizontal="center" vertical="center"/>
    </xf>
    <xf numFmtId="0" fontId="40" fillId="3" borderId="53" xfId="0" applyFont="1" applyFill="1" applyBorder="1" applyAlignment="1">
      <alignment vertical="center"/>
    </xf>
    <xf numFmtId="44" fontId="40" fillId="3" borderId="2" xfId="2" applyFont="1" applyFill="1" applyBorder="1" applyAlignment="1">
      <alignment vertical="center"/>
    </xf>
    <xf numFmtId="44" fontId="40" fillId="3" borderId="2" xfId="2" applyFont="1" applyFill="1" applyBorder="1"/>
    <xf numFmtId="44" fontId="40" fillId="3" borderId="1" xfId="2" applyFont="1" applyFill="1" applyBorder="1"/>
    <xf numFmtId="44" fontId="40" fillId="3" borderId="53" xfId="2" applyFont="1" applyFill="1" applyBorder="1" applyAlignment="1">
      <alignment vertical="center"/>
    </xf>
    <xf numFmtId="44" fontId="40" fillId="3" borderId="1" xfId="2" applyFont="1" applyFill="1" applyBorder="1" applyAlignment="1">
      <alignment vertical="center"/>
    </xf>
    <xf numFmtId="44" fontId="40" fillId="3" borderId="24" xfId="2" applyFont="1" applyFill="1" applyBorder="1" applyAlignment="1">
      <alignment vertical="center"/>
    </xf>
    <xf numFmtId="3" fontId="38" fillId="3" borderId="43" xfId="7" applyNumberFormat="1" applyFont="1" applyFill="1" applyBorder="1" applyAlignment="1" applyProtection="1">
      <alignment horizontal="center" vertical="center"/>
      <protection locked="0"/>
    </xf>
    <xf numFmtId="0" fontId="40" fillId="3" borderId="58" xfId="0" applyFont="1" applyFill="1" applyBorder="1" applyAlignment="1">
      <alignment vertical="center"/>
    </xf>
    <xf numFmtId="0" fontId="39" fillId="3" borderId="33" xfId="0" applyFont="1" applyFill="1" applyBorder="1" applyAlignment="1">
      <alignment vertical="center"/>
    </xf>
    <xf numFmtId="0" fontId="40" fillId="3" borderId="33" xfId="0" applyFont="1" applyFill="1" applyBorder="1" applyAlignment="1">
      <alignment vertical="center"/>
    </xf>
    <xf numFmtId="0" fontId="40" fillId="3" borderId="10" xfId="0" applyFont="1" applyFill="1" applyBorder="1" applyAlignment="1">
      <alignment vertical="center"/>
    </xf>
    <xf numFmtId="0" fontId="40" fillId="3" borderId="60" xfId="0" applyFont="1" applyFill="1" applyBorder="1" applyAlignment="1">
      <alignment vertical="center"/>
    </xf>
    <xf numFmtId="167" fontId="37" fillId="3" borderId="61" xfId="1" applyNumberFormat="1" applyFont="1" applyFill="1" applyBorder="1" applyAlignment="1">
      <alignment horizontal="center" vertical="center"/>
    </xf>
    <xf numFmtId="10" fontId="37" fillId="3" borderId="63" xfId="3" applyNumberFormat="1" applyFont="1" applyFill="1" applyBorder="1" applyAlignment="1">
      <alignment horizontal="center" vertical="center"/>
    </xf>
    <xf numFmtId="10" fontId="37" fillId="3" borderId="61" xfId="3" applyNumberFormat="1" applyFont="1" applyFill="1" applyBorder="1" applyAlignment="1">
      <alignment horizontal="center" vertical="center"/>
    </xf>
    <xf numFmtId="168" fontId="40" fillId="3" borderId="67" xfId="0" applyNumberFormat="1" applyFont="1" applyFill="1" applyBorder="1"/>
    <xf numFmtId="9" fontId="40" fillId="3" borderId="2" xfId="0" applyNumberFormat="1" applyFont="1" applyFill="1" applyBorder="1" applyAlignment="1">
      <alignment horizontal="center" vertical="center"/>
    </xf>
    <xf numFmtId="9" fontId="40" fillId="3" borderId="1" xfId="0" applyNumberFormat="1" applyFont="1" applyFill="1" applyBorder="1" applyAlignment="1">
      <alignment horizontal="center" vertical="center"/>
    </xf>
    <xf numFmtId="9" fontId="40" fillId="3" borderId="24" xfId="0" applyNumberFormat="1" applyFont="1" applyFill="1" applyBorder="1" applyAlignment="1">
      <alignment horizontal="center" vertical="center"/>
    </xf>
    <xf numFmtId="43" fontId="37" fillId="3" borderId="22" xfId="1" applyFont="1" applyFill="1" applyBorder="1" applyAlignment="1">
      <alignment horizontal="center" vertical="center"/>
    </xf>
    <xf numFmtId="43" fontId="37" fillId="3" borderId="25" xfId="1" applyFont="1" applyFill="1" applyBorder="1" applyAlignment="1">
      <alignment horizontal="center" vertical="center"/>
    </xf>
    <xf numFmtId="0" fontId="15" fillId="0" borderId="0" xfId="0" applyFont="1" applyAlignment="1">
      <alignment vertical="center" wrapText="1"/>
    </xf>
    <xf numFmtId="0" fontId="43" fillId="0" borderId="0" xfId="0" applyFont="1" applyAlignment="1">
      <alignment vertical="center" wrapText="1"/>
    </xf>
    <xf numFmtId="0" fontId="44" fillId="0" borderId="0" xfId="0" applyFont="1" applyAlignment="1">
      <alignment vertical="center" wrapText="1"/>
    </xf>
    <xf numFmtId="10" fontId="11" fillId="3" borderId="22" xfId="3" applyNumberFormat="1" applyFont="1" applyFill="1" applyBorder="1" applyAlignment="1">
      <alignment vertical="center"/>
    </xf>
    <xf numFmtId="10" fontId="11" fillId="3" borderId="25" xfId="3" applyNumberFormat="1" applyFont="1" applyFill="1" applyBorder="1" applyAlignment="1">
      <alignment vertical="center"/>
    </xf>
    <xf numFmtId="0" fontId="8" fillId="2" borderId="3" xfId="4" applyFont="1" applyFill="1" applyBorder="1" applyAlignment="1">
      <alignment horizontal="center" vertical="center" wrapText="1"/>
    </xf>
    <xf numFmtId="0" fontId="18" fillId="3" borderId="34" xfId="4" applyFont="1" applyFill="1" applyBorder="1" applyAlignment="1">
      <alignment vertical="center" wrapText="1"/>
    </xf>
    <xf numFmtId="0" fontId="18" fillId="3" borderId="36" xfId="4" applyFont="1" applyFill="1" applyBorder="1" applyAlignment="1">
      <alignment vertical="center" wrapText="1"/>
    </xf>
    <xf numFmtId="0" fontId="8" fillId="2" borderId="4" xfId="4" applyFont="1" applyFill="1" applyBorder="1" applyAlignment="1">
      <alignment horizontal="center" vertical="center" wrapText="1"/>
    </xf>
    <xf numFmtId="0" fontId="8" fillId="2" borderId="26" xfId="4" applyFont="1" applyFill="1" applyBorder="1" applyAlignment="1">
      <alignment horizontal="center" vertical="center" wrapText="1"/>
    </xf>
    <xf numFmtId="0" fontId="8" fillId="2" borderId="19" xfId="4" applyFont="1" applyFill="1" applyBorder="1" applyAlignment="1">
      <alignment horizontal="center" vertical="center" wrapText="1"/>
    </xf>
    <xf numFmtId="3" fontId="13" fillId="3" borderId="43" xfId="7" applyNumberFormat="1" applyFont="1" applyFill="1" applyBorder="1" applyAlignment="1" applyProtection="1">
      <alignment horizontal="center" vertical="center" wrapText="1"/>
      <protection locked="0"/>
    </xf>
    <xf numFmtId="44" fontId="28" fillId="3" borderId="22" xfId="2" applyFont="1" applyFill="1" applyBorder="1" applyAlignment="1">
      <alignment vertical="center" wrapText="1"/>
    </xf>
    <xf numFmtId="43" fontId="27" fillId="3" borderId="9" xfId="1" applyFont="1" applyFill="1" applyBorder="1" applyAlignment="1">
      <alignment vertical="center" wrapText="1"/>
    </xf>
    <xf numFmtId="43" fontId="27" fillId="3" borderId="30" xfId="1" applyFont="1" applyFill="1" applyBorder="1" applyAlignment="1">
      <alignment vertical="center" wrapText="1"/>
    </xf>
    <xf numFmtId="0" fontId="8" fillId="2" borderId="17" xfId="4" applyFont="1" applyFill="1" applyBorder="1" applyAlignment="1">
      <alignment horizontal="center" vertical="center" wrapText="1"/>
    </xf>
    <xf numFmtId="0" fontId="8" fillId="2" borderId="18" xfId="4" applyFont="1" applyFill="1" applyBorder="1" applyAlignment="1">
      <alignment horizontal="center" vertical="center" wrapText="1"/>
    </xf>
    <xf numFmtId="0" fontId="0" fillId="3" borderId="57" xfId="0" applyFill="1" applyBorder="1" applyAlignment="1">
      <alignment vertical="center" wrapText="1"/>
    </xf>
    <xf numFmtId="0" fontId="27" fillId="3" borderId="53" xfId="0" applyFont="1" applyFill="1" applyBorder="1" applyAlignment="1">
      <alignment vertical="center" wrapText="1"/>
    </xf>
    <xf numFmtId="44" fontId="0" fillId="3" borderId="57" xfId="2" applyFont="1" applyFill="1" applyBorder="1" applyAlignment="1">
      <alignment vertical="center" wrapText="1"/>
    </xf>
    <xf numFmtId="44" fontId="27" fillId="3" borderId="53" xfId="2" applyFont="1" applyFill="1" applyBorder="1" applyAlignment="1">
      <alignment vertical="center" wrapText="1"/>
    </xf>
    <xf numFmtId="0" fontId="0" fillId="3" borderId="56" xfId="0" applyFill="1" applyBorder="1" applyAlignment="1">
      <alignment vertical="center" wrapText="1"/>
    </xf>
    <xf numFmtId="44" fontId="27" fillId="3" borderId="2" xfId="2" applyFont="1" applyFill="1" applyBorder="1" applyAlignment="1">
      <alignment vertical="center" wrapText="1"/>
    </xf>
    <xf numFmtId="0" fontId="0" fillId="3" borderId="11" xfId="0" applyFill="1" applyBorder="1" applyAlignment="1">
      <alignment vertical="center" wrapText="1"/>
    </xf>
    <xf numFmtId="44" fontId="27" fillId="3" borderId="1" xfId="2" applyFont="1" applyFill="1" applyBorder="1" applyAlignment="1">
      <alignment vertical="center" wrapText="1"/>
    </xf>
    <xf numFmtId="0" fontId="0" fillId="3" borderId="55" xfId="0" applyFill="1" applyBorder="1" applyAlignment="1">
      <alignment vertical="center" wrapText="1"/>
    </xf>
    <xf numFmtId="44" fontId="30" fillId="3" borderId="55" xfId="2" applyFont="1" applyFill="1" applyBorder="1" applyAlignment="1">
      <alignment vertical="center" wrapText="1"/>
    </xf>
    <xf numFmtId="44" fontId="27" fillId="3" borderId="55" xfId="2" applyFont="1" applyFill="1" applyBorder="1" applyAlignment="1">
      <alignment vertical="center" wrapText="1"/>
    </xf>
    <xf numFmtId="44" fontId="27" fillId="3" borderId="24" xfId="2" applyFont="1" applyFill="1" applyBorder="1" applyAlignment="1">
      <alignment vertical="center" wrapText="1"/>
    </xf>
    <xf numFmtId="0" fontId="27" fillId="3" borderId="58" xfId="0" applyFont="1" applyFill="1" applyBorder="1" applyAlignment="1">
      <alignment horizontal="center" vertical="center" wrapText="1"/>
    </xf>
    <xf numFmtId="0" fontId="19" fillId="3" borderId="33" xfId="0" applyFont="1" applyFill="1" applyBorder="1" applyAlignment="1">
      <alignment horizontal="center" vertical="center" wrapText="1"/>
    </xf>
    <xf numFmtId="0" fontId="27" fillId="3" borderId="10" xfId="0" applyFont="1" applyFill="1" applyBorder="1" applyAlignment="1">
      <alignment horizontal="center" vertical="center" wrapText="1"/>
    </xf>
    <xf numFmtId="0" fontId="27" fillId="3" borderId="59" xfId="0" applyFont="1" applyFill="1" applyBorder="1" applyAlignment="1">
      <alignment horizontal="center" vertical="center" wrapText="1"/>
    </xf>
    <xf numFmtId="0" fontId="27" fillId="3" borderId="33" xfId="0" applyFont="1" applyFill="1" applyBorder="1" applyAlignment="1">
      <alignment horizontal="center" vertical="center" wrapText="1"/>
    </xf>
    <xf numFmtId="0" fontId="27" fillId="3" borderId="60" xfId="0" applyFont="1" applyFill="1" applyBorder="1" applyAlignment="1">
      <alignment horizontal="center" vertical="center" wrapText="1"/>
    </xf>
    <xf numFmtId="0" fontId="15" fillId="3" borderId="20" xfId="4" applyFont="1" applyFill="1" applyBorder="1" applyAlignment="1">
      <alignment vertical="center" wrapText="1"/>
    </xf>
    <xf numFmtId="0" fontId="15" fillId="3" borderId="34" xfId="4" applyFont="1" applyFill="1" applyBorder="1" applyAlignment="1">
      <alignment vertical="center" wrapText="1"/>
    </xf>
    <xf numFmtId="0" fontId="15" fillId="3" borderId="62" xfId="4" applyFont="1" applyFill="1" applyBorder="1" applyAlignment="1">
      <alignment vertical="center" wrapText="1"/>
    </xf>
    <xf numFmtId="0" fontId="0" fillId="3" borderId="68" xfId="0" applyFill="1" applyBorder="1" applyAlignment="1">
      <alignment wrapText="1"/>
    </xf>
    <xf numFmtId="44" fontId="5" fillId="3" borderId="22" xfId="2" applyFont="1" applyFill="1" applyBorder="1" applyAlignment="1">
      <alignment horizontal="left" vertical="center" wrapText="1"/>
    </xf>
    <xf numFmtId="44" fontId="5" fillId="3" borderId="49" xfId="2" applyFont="1" applyFill="1" applyBorder="1" applyAlignment="1">
      <alignment horizontal="left" vertical="center" wrapText="1"/>
    </xf>
    <xf numFmtId="44" fontId="5" fillId="3" borderId="64" xfId="2" applyFont="1" applyFill="1" applyBorder="1" applyAlignment="1">
      <alignment horizontal="left" vertical="center" wrapText="1"/>
    </xf>
    <xf numFmtId="0" fontId="0" fillId="3" borderId="69" xfId="0" applyFill="1" applyBorder="1" applyAlignment="1">
      <alignment wrapText="1"/>
    </xf>
    <xf numFmtId="0" fontId="8" fillId="2" borderId="65" xfId="4" applyFont="1" applyFill="1" applyBorder="1" applyAlignment="1">
      <alignment horizontal="left" vertical="center" wrapText="1"/>
    </xf>
    <xf numFmtId="0" fontId="0" fillId="0" borderId="0" xfId="0" applyAlignment="1">
      <alignment horizontal="center" vertical="center" wrapText="1"/>
    </xf>
    <xf numFmtId="0" fontId="0" fillId="0" borderId="0" xfId="0" applyAlignment="1">
      <alignment horizontal="center" vertical="center"/>
    </xf>
    <xf numFmtId="3" fontId="38" fillId="3" borderId="43" xfId="7" applyNumberFormat="1" applyFont="1" applyFill="1" applyBorder="1" applyAlignment="1" applyProtection="1">
      <alignment horizontal="center" vertical="center"/>
    </xf>
    <xf numFmtId="0" fontId="5" fillId="0" borderId="0" xfId="0" applyFont="1" applyAlignment="1">
      <alignment vertical="center"/>
    </xf>
    <xf numFmtId="0" fontId="6" fillId="0" borderId="0" xfId="0" applyFont="1" applyAlignment="1">
      <alignment vertical="center"/>
    </xf>
    <xf numFmtId="0" fontId="46" fillId="0" borderId="0" xfId="0" applyFont="1" applyAlignment="1">
      <alignment vertical="center"/>
    </xf>
    <xf numFmtId="3" fontId="38" fillId="3" borderId="85" xfId="7" applyNumberFormat="1" applyFont="1" applyFill="1" applyBorder="1" applyAlignment="1" applyProtection="1">
      <alignment horizontal="center" vertical="center"/>
      <protection locked="0"/>
    </xf>
    <xf numFmtId="0" fontId="0" fillId="0" borderId="76" xfId="0" applyBorder="1" applyAlignment="1">
      <alignment horizontal="center" vertical="center"/>
    </xf>
    <xf numFmtId="0" fontId="5" fillId="3" borderId="36" xfId="4" applyFont="1" applyFill="1" applyBorder="1" applyAlignment="1">
      <alignment horizontal="left" vertical="center" wrapText="1"/>
    </xf>
    <xf numFmtId="0" fontId="37" fillId="3" borderId="22" xfId="7" applyNumberFormat="1" applyFont="1" applyFill="1" applyBorder="1" applyAlignment="1" applyProtection="1">
      <alignment horizontal="center" vertical="center"/>
    </xf>
    <xf numFmtId="165" fontId="0" fillId="3" borderId="0" xfId="0" applyNumberFormat="1" applyFill="1"/>
    <xf numFmtId="165" fontId="5" fillId="3" borderId="86" xfId="4" applyNumberFormat="1" applyFont="1" applyFill="1" applyBorder="1" applyAlignment="1" applyProtection="1">
      <alignment horizontal="center" vertical="center"/>
      <protection locked="0"/>
    </xf>
    <xf numFmtId="0" fontId="5" fillId="3" borderId="87" xfId="4" applyFont="1" applyFill="1" applyBorder="1" applyAlignment="1">
      <alignment horizontal="left" vertical="center" wrapText="1"/>
    </xf>
    <xf numFmtId="0" fontId="0" fillId="3" borderId="88" xfId="0" applyFill="1" applyBorder="1"/>
    <xf numFmtId="0" fontId="0" fillId="3" borderId="89" xfId="0" applyFill="1" applyBorder="1"/>
    <xf numFmtId="169" fontId="49" fillId="8" borderId="90" xfId="7" applyNumberFormat="1" applyFont="1" applyFill="1" applyBorder="1" applyAlignment="1">
      <alignment horizontal="center" vertical="center"/>
    </xf>
    <xf numFmtId="2" fontId="40" fillId="3" borderId="91" xfId="0" applyNumberFormat="1" applyFont="1" applyFill="1" applyBorder="1" applyAlignment="1">
      <alignment horizontal="center" vertical="center"/>
    </xf>
    <xf numFmtId="164" fontId="0" fillId="3" borderId="92" xfId="7" applyFont="1" applyFill="1" applyBorder="1" applyAlignment="1">
      <alignment vertical="center"/>
    </xf>
    <xf numFmtId="0" fontId="0" fillId="3" borderId="93" xfId="0" applyFill="1" applyBorder="1" applyAlignment="1">
      <alignment vertical="center"/>
    </xf>
    <xf numFmtId="0" fontId="9" fillId="2" borderId="0" xfId="0" applyFont="1" applyFill="1" applyAlignment="1">
      <alignment vertical="center"/>
    </xf>
    <xf numFmtId="0" fontId="50" fillId="9" borderId="94" xfId="4" applyFont="1" applyFill="1" applyBorder="1" applyAlignment="1">
      <alignment vertical="center" wrapText="1"/>
    </xf>
    <xf numFmtId="164" fontId="0" fillId="3" borderId="95" xfId="7" applyFont="1" applyFill="1" applyBorder="1"/>
    <xf numFmtId="0" fontId="0" fillId="3" borderId="96" xfId="0" applyFill="1" applyBorder="1"/>
    <xf numFmtId="0" fontId="45" fillId="0" borderId="0" xfId="0" applyFont="1"/>
    <xf numFmtId="165" fontId="3" fillId="3" borderId="97" xfId="0" applyNumberFormat="1" applyFont="1" applyFill="1" applyBorder="1" applyAlignment="1">
      <alignment vertical="center"/>
    </xf>
    <xf numFmtId="0" fontId="52" fillId="3" borderId="98" xfId="0" applyFont="1" applyFill="1" applyBorder="1" applyAlignment="1">
      <alignment vertical="center" wrapText="1"/>
    </xf>
    <xf numFmtId="44" fontId="53" fillId="8" borderId="72" xfId="0" applyNumberFormat="1" applyFont="1" applyFill="1" applyBorder="1" applyAlignment="1">
      <alignment horizontal="center" vertical="center"/>
    </xf>
    <xf numFmtId="44" fontId="39" fillId="3" borderId="91" xfId="0" applyNumberFormat="1" applyFont="1" applyFill="1" applyBorder="1" applyAlignment="1">
      <alignment horizontal="center" vertical="center"/>
    </xf>
    <xf numFmtId="164" fontId="0" fillId="3" borderId="88" xfId="7" applyFont="1" applyFill="1" applyBorder="1"/>
    <xf numFmtId="165" fontId="0" fillId="3" borderId="99" xfId="0" applyNumberFormat="1" applyFill="1" applyBorder="1"/>
    <xf numFmtId="0" fontId="5" fillId="3" borderId="100" xfId="4" applyFont="1" applyFill="1" applyBorder="1" applyAlignment="1">
      <alignment horizontal="left" vertical="center" wrapText="1"/>
    </xf>
    <xf numFmtId="0" fontId="50" fillId="9" borderId="0" xfId="4" applyFont="1" applyFill="1" applyAlignment="1">
      <alignment vertical="center" wrapText="1"/>
    </xf>
    <xf numFmtId="0" fontId="8" fillId="2" borderId="0" xfId="0" applyFont="1" applyFill="1" applyAlignment="1">
      <alignment horizontal="center" vertical="center"/>
    </xf>
    <xf numFmtId="165" fontId="0" fillId="3" borderId="86" xfId="0" applyNumberFormat="1" applyFill="1" applyBorder="1" applyAlignment="1">
      <alignment vertical="center"/>
    </xf>
    <xf numFmtId="0" fontId="5" fillId="3" borderId="100" xfId="4" applyFont="1" applyFill="1" applyBorder="1" applyAlignment="1">
      <alignment horizontal="left" vertical="center"/>
    </xf>
    <xf numFmtId="164" fontId="3" fillId="3" borderId="97" xfId="0" applyNumberFormat="1" applyFont="1" applyFill="1" applyBorder="1"/>
    <xf numFmtId="0" fontId="3" fillId="3" borderId="98" xfId="0" applyFont="1" applyFill="1" applyBorder="1"/>
    <xf numFmtId="0" fontId="5" fillId="3" borderId="86" xfId="4" applyFont="1" applyFill="1" applyBorder="1" applyAlignment="1" applyProtection="1">
      <alignment horizontal="center" vertical="center"/>
      <protection locked="0"/>
    </xf>
    <xf numFmtId="0" fontId="5" fillId="3" borderId="87" xfId="4" applyFont="1" applyFill="1" applyBorder="1" applyAlignment="1">
      <alignment horizontal="left" vertical="center"/>
    </xf>
    <xf numFmtId="2" fontId="37" fillId="3" borderId="101" xfId="3" applyNumberFormat="1" applyFont="1" applyFill="1" applyBorder="1" applyAlignment="1">
      <alignment horizontal="center" vertical="center"/>
    </xf>
    <xf numFmtId="0" fontId="16" fillId="3" borderId="102" xfId="0" applyFont="1" applyFill="1" applyBorder="1"/>
    <xf numFmtId="0" fontId="0" fillId="3" borderId="103" xfId="0" applyFill="1" applyBorder="1"/>
    <xf numFmtId="165" fontId="0" fillId="3" borderId="77" xfId="0" applyNumberFormat="1" applyFill="1" applyBorder="1"/>
    <xf numFmtId="0" fontId="5" fillId="3" borderId="104" xfId="4" applyFont="1" applyFill="1" applyBorder="1" applyAlignment="1">
      <alignment horizontal="left" vertical="center"/>
    </xf>
    <xf numFmtId="0" fontId="5" fillId="3" borderId="105" xfId="4" applyFont="1" applyFill="1" applyBorder="1" applyAlignment="1">
      <alignment horizontal="left" vertical="center" wrapText="1"/>
    </xf>
    <xf numFmtId="2" fontId="37" fillId="3" borderId="106" xfId="3" applyNumberFormat="1" applyFont="1" applyFill="1" applyBorder="1" applyAlignment="1">
      <alignment horizontal="center" vertical="center"/>
    </xf>
    <xf numFmtId="0" fontId="5" fillId="3" borderId="107" xfId="4" applyFont="1" applyFill="1" applyBorder="1" applyAlignment="1">
      <alignment horizontal="left" vertical="center" wrapText="1"/>
    </xf>
    <xf numFmtId="9" fontId="5" fillId="3" borderId="106" xfId="3" applyFont="1" applyFill="1" applyBorder="1" applyAlignment="1">
      <alignment horizontal="center" vertical="center"/>
    </xf>
    <xf numFmtId="0" fontId="5" fillId="3" borderId="107" xfId="4" applyFont="1" applyFill="1" applyBorder="1" applyAlignment="1">
      <alignment horizontal="left" vertical="center"/>
    </xf>
    <xf numFmtId="0" fontId="8" fillId="2" borderId="0" xfId="4" applyFont="1" applyFill="1" applyAlignment="1">
      <alignment vertical="center"/>
    </xf>
    <xf numFmtId="166" fontId="37" fillId="3" borderId="86" xfId="7" applyNumberFormat="1" applyFont="1" applyFill="1" applyBorder="1" applyAlignment="1" applyProtection="1">
      <alignment horizontal="center" vertical="center"/>
      <protection locked="0"/>
    </xf>
    <xf numFmtId="9" fontId="37" fillId="3" borderId="106" xfId="3" applyFont="1" applyFill="1" applyBorder="1" applyAlignment="1">
      <alignment horizontal="center" vertical="center"/>
    </xf>
    <xf numFmtId="3" fontId="38" fillId="3" borderId="108" xfId="7" applyNumberFormat="1" applyFont="1" applyFill="1" applyBorder="1" applyAlignment="1" applyProtection="1">
      <alignment horizontal="center" vertical="center"/>
      <protection locked="0"/>
    </xf>
    <xf numFmtId="0" fontId="12" fillId="10" borderId="109" xfId="4" applyFont="1" applyFill="1" applyBorder="1" applyAlignment="1">
      <alignment vertical="center"/>
    </xf>
    <xf numFmtId="0" fontId="12" fillId="10" borderId="109" xfId="4" applyFont="1" applyFill="1" applyBorder="1" applyAlignment="1">
      <alignment vertical="center" wrapText="1"/>
    </xf>
    <xf numFmtId="9" fontId="37" fillId="3" borderId="92" xfId="3" applyFont="1" applyFill="1" applyBorder="1" applyAlignment="1">
      <alignment horizontal="center" vertical="center"/>
    </xf>
    <xf numFmtId="0" fontId="5" fillId="3" borderId="84" xfId="4" applyFont="1" applyFill="1" applyBorder="1" applyAlignment="1">
      <alignment vertical="center" wrapText="1"/>
    </xf>
    <xf numFmtId="9" fontId="37" fillId="3" borderId="88" xfId="3" applyFont="1" applyFill="1" applyBorder="1" applyAlignment="1">
      <alignment horizontal="center" vertical="center"/>
    </xf>
    <xf numFmtId="0" fontId="5" fillId="3" borderId="84" xfId="4" applyFont="1" applyFill="1" applyBorder="1" applyAlignment="1">
      <alignment horizontal="left" vertical="center"/>
    </xf>
    <xf numFmtId="0" fontId="3" fillId="10" borderId="112" xfId="0" applyFont="1" applyFill="1" applyBorder="1"/>
    <xf numFmtId="0" fontId="54" fillId="10" borderId="113" xfId="0" applyFont="1" applyFill="1" applyBorder="1"/>
    <xf numFmtId="0" fontId="20" fillId="2" borderId="0" xfId="4" applyFont="1" applyFill="1" applyAlignment="1">
      <alignment vertical="center"/>
    </xf>
    <xf numFmtId="0" fontId="55" fillId="2" borderId="0" xfId="4" applyFont="1" applyFill="1" applyAlignment="1">
      <alignment vertical="center"/>
    </xf>
    <xf numFmtId="44" fontId="5" fillId="3" borderId="1" xfId="7" applyNumberFormat="1" applyFont="1" applyFill="1" applyBorder="1" applyAlignment="1" applyProtection="1">
      <alignment horizontal="center" vertical="center"/>
      <protection locked="0"/>
    </xf>
    <xf numFmtId="0" fontId="5" fillId="3" borderId="1" xfId="4" applyFont="1" applyFill="1" applyBorder="1" applyAlignment="1">
      <alignment horizontal="left" vertical="center"/>
    </xf>
    <xf numFmtId="0" fontId="5" fillId="3" borderId="1" xfId="7" applyNumberFormat="1" applyFont="1" applyFill="1" applyBorder="1" applyAlignment="1" applyProtection="1">
      <alignment horizontal="center" vertical="center"/>
      <protection locked="0"/>
    </xf>
    <xf numFmtId="0" fontId="56" fillId="10" borderId="113" xfId="0" applyFont="1" applyFill="1" applyBorder="1"/>
    <xf numFmtId="0" fontId="5" fillId="3" borderId="1" xfId="4" applyFont="1" applyFill="1" applyBorder="1" applyAlignment="1" applyProtection="1">
      <alignment horizontal="center" vertical="center"/>
      <protection locked="0"/>
    </xf>
    <xf numFmtId="44" fontId="5" fillId="3" borderId="1" xfId="3" applyNumberFormat="1" applyFont="1" applyFill="1" applyBorder="1" applyAlignment="1">
      <alignment horizontal="center" vertical="center"/>
    </xf>
    <xf numFmtId="0" fontId="5" fillId="3" borderId="1" xfId="4" applyFont="1" applyFill="1" applyBorder="1" applyAlignment="1">
      <alignment vertical="center"/>
    </xf>
    <xf numFmtId="9" fontId="37" fillId="3" borderId="1" xfId="3" applyFont="1" applyFill="1" applyBorder="1" applyAlignment="1">
      <alignment horizontal="center" vertical="center"/>
    </xf>
    <xf numFmtId="44" fontId="17" fillId="0" borderId="114" xfId="0" applyNumberFormat="1" applyFont="1" applyBorder="1" applyAlignment="1">
      <alignment vertical="center"/>
    </xf>
    <xf numFmtId="44" fontId="18" fillId="0" borderId="115" xfId="4" applyNumberFormat="1" applyFont="1" applyBorder="1" applyAlignment="1">
      <alignment vertical="center"/>
    </xf>
    <xf numFmtId="0" fontId="18" fillId="0" borderId="116" xfId="4" applyFont="1" applyBorder="1" applyAlignment="1">
      <alignment vertical="center"/>
    </xf>
    <xf numFmtId="0" fontId="17" fillId="0" borderId="116" xfId="0" applyFont="1" applyBorder="1"/>
    <xf numFmtId="0" fontId="17" fillId="0" borderId="117" xfId="0" applyFont="1" applyBorder="1" applyAlignment="1">
      <alignment vertical="center" wrapText="1"/>
    </xf>
    <xf numFmtId="44" fontId="0" fillId="0" borderId="118" xfId="0" applyNumberFormat="1" applyBorder="1"/>
    <xf numFmtId="44" fontId="40" fillId="0" borderId="119" xfId="2" applyFont="1" applyBorder="1"/>
    <xf numFmtId="0" fontId="40" fillId="0" borderId="119" xfId="0" applyFont="1" applyBorder="1"/>
    <xf numFmtId="0" fontId="0" fillId="0" borderId="120" xfId="0" applyBorder="1" applyAlignment="1">
      <alignment vertical="center" wrapText="1"/>
    </xf>
    <xf numFmtId="44" fontId="0" fillId="0" borderId="121" xfId="0" applyNumberFormat="1" applyBorder="1"/>
    <xf numFmtId="44" fontId="40" fillId="0" borderId="105" xfId="2" applyFont="1" applyBorder="1"/>
    <xf numFmtId="0" fontId="40" fillId="0" borderId="105" xfId="0" applyFont="1" applyBorder="1"/>
    <xf numFmtId="0" fontId="0" fillId="0" borderId="122" xfId="0" applyBorder="1" applyAlignment="1">
      <alignment vertical="center" wrapText="1"/>
    </xf>
    <xf numFmtId="44" fontId="0" fillId="0" borderId="123" xfId="0" applyNumberFormat="1" applyBorder="1"/>
    <xf numFmtId="44" fontId="40" fillId="0" borderId="91" xfId="2" applyFont="1" applyBorder="1"/>
    <xf numFmtId="0" fontId="40" fillId="0" borderId="91" xfId="0" applyFont="1" applyBorder="1"/>
    <xf numFmtId="0" fontId="0" fillId="0" borderId="124" xfId="0" applyBorder="1" applyAlignment="1">
      <alignment vertical="center" wrapText="1"/>
    </xf>
    <xf numFmtId="166" fontId="3" fillId="3" borderId="97" xfId="0" applyNumberFormat="1" applyFont="1" applyFill="1" applyBorder="1"/>
    <xf numFmtId="44" fontId="0" fillId="0" borderId="125" xfId="0" applyNumberFormat="1" applyBorder="1"/>
    <xf numFmtId="44" fontId="40" fillId="0" borderId="126" xfId="2" applyFont="1" applyBorder="1"/>
    <xf numFmtId="43" fontId="40" fillId="0" borderId="126" xfId="0" applyNumberFormat="1" applyFont="1" applyBorder="1"/>
    <xf numFmtId="0" fontId="0" fillId="0" borderId="127" xfId="0" applyBorder="1" applyAlignment="1">
      <alignment vertical="center" wrapText="1"/>
    </xf>
    <xf numFmtId="164" fontId="5" fillId="3" borderId="128" xfId="7" applyFont="1" applyFill="1" applyBorder="1" applyAlignment="1">
      <alignment horizontal="center" vertical="center"/>
    </xf>
    <xf numFmtId="0" fontId="0" fillId="3" borderId="78" xfId="0" applyFill="1" applyBorder="1" applyAlignment="1">
      <alignment wrapText="1"/>
    </xf>
    <xf numFmtId="0" fontId="8" fillId="2" borderId="129" xfId="4" applyFont="1" applyFill="1" applyBorder="1" applyAlignment="1">
      <alignment vertical="center" wrapText="1"/>
    </xf>
    <xf numFmtId="0" fontId="8" fillId="2" borderId="130" xfId="4" applyFont="1" applyFill="1" applyBorder="1" applyAlignment="1">
      <alignment vertical="center"/>
    </xf>
    <xf numFmtId="164" fontId="16" fillId="3" borderId="82" xfId="0" applyNumberFormat="1" applyFont="1" applyFill="1" applyBorder="1" applyAlignment="1">
      <alignment vertical="center"/>
    </xf>
    <xf numFmtId="0" fontId="0" fillId="3" borderId="84" xfId="0" applyFill="1" applyBorder="1" applyAlignment="1">
      <alignment wrapText="1"/>
    </xf>
    <xf numFmtId="164" fontId="5" fillId="3" borderId="131" xfId="7" applyFont="1" applyFill="1" applyBorder="1" applyAlignment="1">
      <alignment horizontal="center" vertical="center"/>
    </xf>
    <xf numFmtId="0" fontId="37" fillId="3" borderId="1" xfId="7" applyNumberFormat="1" applyFont="1" applyFill="1" applyBorder="1" applyAlignment="1" applyProtection="1">
      <alignment horizontal="center" vertical="center"/>
    </xf>
    <xf numFmtId="10" fontId="5" fillId="3" borderId="1" xfId="3" applyNumberFormat="1" applyFont="1" applyFill="1" applyBorder="1" applyAlignment="1">
      <alignment vertical="center"/>
    </xf>
    <xf numFmtId="44" fontId="10" fillId="0" borderId="2" xfId="3" applyNumberFormat="1" applyFont="1" applyFill="1" applyBorder="1" applyAlignment="1">
      <alignment horizontal="center" vertical="center"/>
    </xf>
    <xf numFmtId="0" fontId="5" fillId="0" borderId="2" xfId="4" applyFont="1" applyBorder="1" applyAlignment="1">
      <alignment horizontal="left" vertical="center"/>
    </xf>
    <xf numFmtId="10" fontId="12" fillId="3" borderId="132" xfId="3" applyNumberFormat="1" applyFont="1" applyFill="1" applyBorder="1" applyAlignment="1">
      <alignment horizontal="center" vertical="center"/>
    </xf>
    <xf numFmtId="0" fontId="12" fillId="3" borderId="133" xfId="4" applyFont="1" applyFill="1" applyBorder="1" applyAlignment="1">
      <alignment horizontal="left" vertical="center"/>
    </xf>
    <xf numFmtId="0" fontId="38" fillId="3" borderId="1" xfId="7" applyNumberFormat="1" applyFont="1" applyFill="1" applyBorder="1" applyAlignment="1" applyProtection="1">
      <alignment horizontal="center" vertical="center"/>
    </xf>
    <xf numFmtId="10" fontId="38" fillId="3" borderId="1" xfId="3" applyNumberFormat="1" applyFont="1" applyFill="1" applyBorder="1" applyAlignment="1">
      <alignment vertical="center"/>
    </xf>
    <xf numFmtId="10" fontId="37" fillId="3" borderId="134" xfId="2" applyNumberFormat="1" applyFont="1" applyFill="1" applyBorder="1" applyAlignment="1">
      <alignment horizontal="center" vertical="center"/>
    </xf>
    <xf numFmtId="0" fontId="5" fillId="3" borderId="135" xfId="4" applyFont="1" applyFill="1" applyBorder="1" applyAlignment="1">
      <alignment horizontal="left" vertical="center" wrapText="1"/>
    </xf>
    <xf numFmtId="10" fontId="37" fillId="3" borderId="136" xfId="2" applyNumberFormat="1" applyFont="1" applyFill="1" applyBorder="1" applyAlignment="1">
      <alignment horizontal="center" vertical="center"/>
    </xf>
    <xf numFmtId="0" fontId="5" fillId="3" borderId="104" xfId="4" applyFont="1" applyFill="1" applyBorder="1" applyAlignment="1">
      <alignment horizontal="left" vertical="center" wrapText="1"/>
    </xf>
    <xf numFmtId="10" fontId="37" fillId="3" borderId="106" xfId="2" applyNumberFormat="1" applyFont="1" applyFill="1" applyBorder="1" applyAlignment="1">
      <alignment horizontal="center" vertical="center"/>
    </xf>
    <xf numFmtId="9" fontId="15" fillId="0" borderId="0" xfId="3" applyFont="1"/>
    <xf numFmtId="0" fontId="5" fillId="3" borderId="0" xfId="4" applyFont="1" applyFill="1" applyAlignment="1">
      <alignment horizontal="left" vertical="center"/>
    </xf>
    <xf numFmtId="9" fontId="0" fillId="0" borderId="0" xfId="3" applyFont="1"/>
    <xf numFmtId="165" fontId="37" fillId="3" borderId="1" xfId="2" applyNumberFormat="1" applyFont="1" applyFill="1" applyBorder="1" applyAlignment="1">
      <alignment horizontal="center" vertical="center"/>
    </xf>
    <xf numFmtId="10" fontId="5" fillId="3" borderId="1" xfId="3" applyNumberFormat="1" applyFont="1" applyFill="1" applyBorder="1" applyAlignment="1">
      <alignment horizontal="center" vertical="center"/>
    </xf>
    <xf numFmtId="164" fontId="5" fillId="3" borderId="1" xfId="7" applyFont="1" applyFill="1" applyBorder="1" applyAlignment="1">
      <alignment horizontal="center" vertical="center"/>
    </xf>
    <xf numFmtId="44" fontId="37" fillId="3" borderId="1" xfId="2" applyFont="1" applyFill="1" applyBorder="1" applyAlignment="1">
      <alignment horizontal="center" vertical="center"/>
    </xf>
    <xf numFmtId="10" fontId="37" fillId="3" borderId="1" xfId="3" applyNumberFormat="1" applyFont="1" applyFill="1" applyBorder="1" applyAlignment="1">
      <alignment horizontal="center" vertical="center"/>
    </xf>
    <xf numFmtId="166" fontId="5" fillId="3" borderId="1" xfId="7" applyNumberFormat="1" applyFont="1" applyFill="1" applyBorder="1" applyAlignment="1">
      <alignment horizontal="center" vertical="center"/>
    </xf>
    <xf numFmtId="0" fontId="5" fillId="0" borderId="0" xfId="4" applyFont="1" applyAlignment="1">
      <alignment horizontal="right" vertical="center"/>
    </xf>
    <xf numFmtId="165" fontId="5" fillId="3" borderId="0" xfId="2" applyNumberFormat="1" applyFont="1" applyFill="1" applyBorder="1" applyAlignment="1" applyProtection="1">
      <alignment horizontal="right" vertical="center"/>
    </xf>
    <xf numFmtId="165" fontId="38" fillId="3" borderId="86" xfId="2" applyNumberFormat="1" applyFont="1" applyFill="1" applyBorder="1" applyAlignment="1">
      <alignment horizontal="center" vertical="center"/>
    </xf>
    <xf numFmtId="0" fontId="5" fillId="3" borderId="87" xfId="4" applyFont="1" applyFill="1" applyBorder="1" applyAlignment="1">
      <alignment vertical="center" wrapText="1"/>
    </xf>
    <xf numFmtId="165" fontId="5" fillId="3" borderId="1" xfId="2" applyNumberFormat="1" applyFont="1" applyFill="1" applyBorder="1" applyAlignment="1" applyProtection="1">
      <alignment horizontal="right" vertical="center"/>
    </xf>
    <xf numFmtId="166" fontId="5" fillId="0" borderId="0" xfId="4" applyNumberFormat="1" applyFont="1" applyAlignment="1">
      <alignment vertical="center"/>
    </xf>
    <xf numFmtId="164" fontId="5" fillId="11" borderId="136" xfId="7" applyFont="1" applyFill="1" applyBorder="1" applyAlignment="1">
      <alignment horizontal="center" vertical="center"/>
    </xf>
    <xf numFmtId="0" fontId="5" fillId="3" borderId="104" xfId="4" applyFont="1" applyFill="1" applyBorder="1" applyAlignment="1">
      <alignment vertical="center"/>
    </xf>
    <xf numFmtId="10" fontId="5" fillId="3" borderId="1" xfId="3" applyNumberFormat="1" applyFont="1" applyFill="1" applyBorder="1" applyAlignment="1" applyProtection="1">
      <alignment horizontal="center" vertical="center"/>
      <protection locked="0"/>
    </xf>
    <xf numFmtId="166" fontId="57" fillId="5" borderId="106" xfId="7" applyNumberFormat="1" applyFont="1" applyFill="1" applyBorder="1" applyAlignment="1">
      <alignment horizontal="center" vertical="center"/>
    </xf>
    <xf numFmtId="0" fontId="5" fillId="5" borderId="107" xfId="4" applyFont="1" applyFill="1" applyBorder="1" applyAlignment="1">
      <alignment vertical="center"/>
    </xf>
    <xf numFmtId="166" fontId="10" fillId="3" borderId="106" xfId="7" applyNumberFormat="1" applyFont="1" applyFill="1" applyBorder="1" applyAlignment="1">
      <alignment horizontal="center" vertical="center"/>
    </xf>
    <xf numFmtId="0" fontId="5" fillId="3" borderId="1" xfId="4" applyFont="1" applyFill="1" applyBorder="1" applyAlignment="1">
      <alignment horizontal="right" vertical="center"/>
    </xf>
    <xf numFmtId="10" fontId="5" fillId="3" borderId="61" xfId="3" applyNumberFormat="1" applyFont="1" applyFill="1" applyBorder="1" applyAlignment="1">
      <alignment vertical="center"/>
    </xf>
    <xf numFmtId="0" fontId="5" fillId="3" borderId="61" xfId="4" applyFont="1" applyFill="1" applyBorder="1" applyAlignment="1">
      <alignment vertical="center"/>
    </xf>
    <xf numFmtId="10" fontId="37" fillId="3" borderId="1" xfId="4" applyNumberFormat="1" applyFont="1" applyFill="1" applyBorder="1" applyAlignment="1" applyProtection="1">
      <alignment horizontal="center" vertical="center"/>
      <protection locked="0"/>
    </xf>
    <xf numFmtId="10" fontId="38" fillId="3" borderId="2" xfId="3" applyNumberFormat="1" applyFont="1" applyFill="1" applyBorder="1" applyAlignment="1">
      <alignment vertical="center"/>
    </xf>
    <xf numFmtId="0" fontId="5" fillId="3" borderId="2" xfId="4" applyFont="1" applyFill="1" applyBorder="1" applyAlignment="1">
      <alignment vertical="center"/>
    </xf>
    <xf numFmtId="10" fontId="10" fillId="3" borderId="1" xfId="3" applyNumberFormat="1" applyFont="1" applyFill="1" applyBorder="1" applyAlignment="1">
      <alignment horizontal="center" vertical="center"/>
    </xf>
    <xf numFmtId="10" fontId="5" fillId="3" borderId="137" xfId="2" applyNumberFormat="1" applyFont="1" applyFill="1" applyBorder="1" applyAlignment="1">
      <alignment horizontal="center" vertical="center"/>
    </xf>
    <xf numFmtId="0" fontId="5" fillId="3" borderId="138" xfId="4" applyFont="1" applyFill="1" applyBorder="1" applyAlignment="1">
      <alignment vertical="center" wrapText="1"/>
    </xf>
    <xf numFmtId="10" fontId="5" fillId="3" borderId="86" xfId="2" applyNumberFormat="1" applyFont="1" applyFill="1" applyBorder="1" applyAlignment="1">
      <alignment horizontal="center" vertical="center"/>
    </xf>
    <xf numFmtId="0" fontId="5" fillId="3" borderId="87" xfId="4" applyFont="1" applyFill="1" applyBorder="1" applyAlignment="1">
      <alignment vertical="center"/>
    </xf>
    <xf numFmtId="10" fontId="5" fillId="3" borderId="136" xfId="2" applyNumberFormat="1" applyFont="1" applyFill="1" applyBorder="1" applyAlignment="1">
      <alignment horizontal="center" vertical="center"/>
    </xf>
    <xf numFmtId="44" fontId="37" fillId="3" borderId="106" xfId="2" applyFont="1" applyFill="1" applyBorder="1" applyAlignment="1">
      <alignment horizontal="center" vertical="center"/>
    </xf>
    <xf numFmtId="0" fontId="5" fillId="3" borderId="107" xfId="4" applyFont="1" applyFill="1" applyBorder="1" applyAlignment="1">
      <alignment vertical="center"/>
    </xf>
    <xf numFmtId="165" fontId="5" fillId="3" borderId="61" xfId="2" applyNumberFormat="1" applyFont="1" applyFill="1" applyBorder="1" applyAlignment="1">
      <alignment horizontal="center" vertical="center"/>
    </xf>
    <xf numFmtId="3" fontId="10" fillId="3" borderId="1" xfId="7" applyNumberFormat="1" applyFont="1" applyFill="1" applyBorder="1" applyAlignment="1" applyProtection="1">
      <alignment horizontal="center" vertical="center"/>
    </xf>
    <xf numFmtId="0" fontId="5" fillId="3" borderId="1" xfId="4" applyFont="1" applyFill="1" applyBorder="1" applyAlignment="1">
      <alignment horizontal="left" vertical="center" wrapText="1"/>
    </xf>
    <xf numFmtId="165" fontId="5" fillId="3" borderId="1" xfId="2" applyNumberFormat="1" applyFont="1" applyFill="1" applyBorder="1" applyAlignment="1">
      <alignment horizontal="center" vertical="center"/>
    </xf>
    <xf numFmtId="44" fontId="37" fillId="3" borderId="1" xfId="3" applyNumberFormat="1" applyFont="1" applyFill="1" applyBorder="1" applyAlignment="1">
      <alignment horizontal="center" vertical="center"/>
    </xf>
    <xf numFmtId="164" fontId="5" fillId="3" borderId="1" xfId="3" applyNumberFormat="1" applyFont="1" applyFill="1" applyBorder="1" applyAlignment="1">
      <alignment horizontal="center" vertical="center"/>
    </xf>
    <xf numFmtId="3" fontId="37" fillId="3" borderId="1" xfId="7" applyNumberFormat="1" applyFont="1" applyFill="1" applyBorder="1" applyAlignment="1" applyProtection="1">
      <alignment horizontal="center" vertical="center"/>
    </xf>
    <xf numFmtId="3" fontId="37" fillId="3" borderId="1" xfId="7" applyNumberFormat="1" applyFont="1" applyFill="1" applyBorder="1" applyAlignment="1" applyProtection="1">
      <alignment horizontal="center" vertical="center"/>
      <protection locked="0"/>
    </xf>
    <xf numFmtId="170" fontId="37" fillId="3" borderId="1" xfId="3" applyNumberFormat="1" applyFont="1" applyFill="1" applyBorder="1" applyAlignment="1">
      <alignment horizontal="center" vertical="center"/>
    </xf>
    <xf numFmtId="0" fontId="37" fillId="3" borderId="1" xfId="4" applyFont="1" applyFill="1" applyBorder="1" applyAlignment="1" applyProtection="1">
      <alignment horizontal="center" vertical="center"/>
      <protection locked="0"/>
    </xf>
    <xf numFmtId="0" fontId="37" fillId="3" borderId="1" xfId="4" applyFont="1" applyFill="1" applyBorder="1" applyAlignment="1">
      <alignment horizontal="center" vertical="center"/>
    </xf>
    <xf numFmtId="3" fontId="9" fillId="12" borderId="0" xfId="6" applyNumberFormat="1" applyFont="1" applyFill="1" applyAlignment="1">
      <alignment horizontal="center" vertical="center"/>
    </xf>
    <xf numFmtId="0" fontId="8" fillId="2" borderId="0" xfId="6" applyFont="1" applyFill="1" applyAlignment="1">
      <alignment vertical="center"/>
    </xf>
    <xf numFmtId="0" fontId="58" fillId="0" borderId="0" xfId="4" applyFont="1" applyAlignment="1">
      <alignment vertical="center"/>
    </xf>
    <xf numFmtId="10" fontId="0" fillId="0" borderId="76" xfId="3" applyNumberFormat="1" applyFont="1" applyBorder="1"/>
    <xf numFmtId="0" fontId="0" fillId="0" borderId="139" xfId="0" applyBorder="1"/>
    <xf numFmtId="10" fontId="0" fillId="0" borderId="75" xfId="3" applyNumberFormat="1" applyFont="1" applyBorder="1"/>
    <xf numFmtId="10" fontId="0" fillId="0" borderId="5" xfId="3" applyNumberFormat="1" applyFont="1" applyBorder="1"/>
    <xf numFmtId="0" fontId="0" fillId="0" borderId="3" xfId="0" applyBorder="1"/>
    <xf numFmtId="10" fontId="45" fillId="0" borderId="140" xfId="0" applyNumberFormat="1" applyFont="1" applyBorder="1" applyAlignment="1">
      <alignment horizontal="center" vertical="center"/>
    </xf>
    <xf numFmtId="10" fontId="45" fillId="0" borderId="141" xfId="0" applyNumberFormat="1" applyFont="1" applyBorder="1" applyAlignment="1">
      <alignment horizontal="center" vertical="center"/>
    </xf>
    <xf numFmtId="0" fontId="61" fillId="0" borderId="142" xfId="0" applyFont="1" applyBorder="1" applyAlignment="1">
      <alignment horizontal="center" vertical="center"/>
    </xf>
    <xf numFmtId="10" fontId="45" fillId="0" borderId="143" xfId="0" applyNumberFormat="1" applyFont="1" applyBorder="1" applyAlignment="1">
      <alignment horizontal="center" vertical="center"/>
    </xf>
    <xf numFmtId="10" fontId="45" fillId="0" borderId="144" xfId="0" applyNumberFormat="1" applyFont="1" applyBorder="1" applyAlignment="1">
      <alignment horizontal="center" vertical="center"/>
    </xf>
    <xf numFmtId="10" fontId="45" fillId="0" borderId="145" xfId="0" applyNumberFormat="1" applyFont="1" applyBorder="1" applyAlignment="1">
      <alignment horizontal="center" vertical="center"/>
    </xf>
    <xf numFmtId="10" fontId="45" fillId="0" borderId="146" xfId="0" applyNumberFormat="1" applyFont="1" applyBorder="1" applyAlignment="1">
      <alignment horizontal="center" vertical="center"/>
    </xf>
    <xf numFmtId="0" fontId="61" fillId="0" borderId="147" xfId="0" applyFont="1" applyBorder="1" applyAlignment="1">
      <alignment horizontal="center" vertical="center"/>
    </xf>
    <xf numFmtId="10" fontId="45" fillId="0" borderId="148" xfId="0" applyNumberFormat="1" applyFont="1" applyBorder="1" applyAlignment="1">
      <alignment horizontal="center" vertical="center"/>
    </xf>
    <xf numFmtId="10" fontId="45" fillId="0" borderId="149" xfId="0" applyNumberFormat="1" applyFont="1" applyBorder="1" applyAlignment="1">
      <alignment horizontal="center" vertical="center"/>
    </xf>
    <xf numFmtId="10" fontId="45" fillId="0" borderId="150" xfId="0" applyNumberFormat="1" applyFont="1" applyBorder="1" applyAlignment="1">
      <alignment horizontal="center" vertical="center"/>
    </xf>
    <xf numFmtId="0" fontId="61" fillId="0" borderId="151" xfId="0" applyFont="1" applyBorder="1" applyAlignment="1">
      <alignment horizontal="center" vertical="center"/>
    </xf>
    <xf numFmtId="171" fontId="61" fillId="0" borderId="152" xfId="0" applyNumberFormat="1" applyFont="1" applyBorder="1" applyAlignment="1">
      <alignment horizontal="center" vertical="center" wrapText="1"/>
    </xf>
    <xf numFmtId="171" fontId="61" fillId="0" borderId="153" xfId="0" applyNumberFormat="1" applyFont="1" applyBorder="1" applyAlignment="1">
      <alignment horizontal="center" vertical="center" wrapText="1"/>
    </xf>
    <xf numFmtId="171" fontId="61" fillId="0" borderId="152" xfId="0" applyNumberFormat="1" applyFont="1" applyBorder="1" applyAlignment="1">
      <alignment horizontal="center" vertical="center"/>
    </xf>
    <xf numFmtId="171" fontId="61" fillId="0" borderId="154" xfId="0" applyNumberFormat="1" applyFont="1" applyBorder="1" applyAlignment="1">
      <alignment horizontal="center" vertical="center" wrapText="1"/>
    </xf>
    <xf numFmtId="0" fontId="61" fillId="0" borderId="0" xfId="0" applyFont="1" applyAlignment="1">
      <alignment vertical="center"/>
    </xf>
    <xf numFmtId="0" fontId="62" fillId="0" borderId="0" xfId="0" applyFont="1"/>
    <xf numFmtId="172" fontId="15" fillId="0" borderId="76" xfId="3" applyNumberFormat="1" applyFont="1" applyFill="1" applyBorder="1" applyAlignment="1">
      <alignment horizontal="center"/>
    </xf>
    <xf numFmtId="172" fontId="15" fillId="0" borderId="157" xfId="3" applyNumberFormat="1" applyFont="1" applyFill="1" applyBorder="1" applyAlignment="1">
      <alignment horizontal="center"/>
    </xf>
    <xf numFmtId="172" fontId="15" fillId="0" borderId="157" xfId="0" applyNumberFormat="1" applyFont="1" applyBorder="1" applyAlignment="1">
      <alignment horizontal="center"/>
    </xf>
    <xf numFmtId="173" fontId="15" fillId="0" borderId="139" xfId="0" applyNumberFormat="1" applyFont="1" applyBorder="1" applyAlignment="1">
      <alignment horizontal="center"/>
    </xf>
    <xf numFmtId="172" fontId="15" fillId="0" borderId="75" xfId="3" applyNumberFormat="1" applyFont="1" applyFill="1" applyBorder="1" applyAlignment="1">
      <alignment horizontal="center"/>
    </xf>
    <xf numFmtId="172" fontId="15" fillId="0" borderId="0" xfId="3" applyNumberFormat="1" applyFont="1" applyFill="1" applyBorder="1" applyAlignment="1">
      <alignment horizontal="center"/>
    </xf>
    <xf numFmtId="172" fontId="15" fillId="0" borderId="0" xfId="0" applyNumberFormat="1" applyFont="1" applyAlignment="1">
      <alignment horizontal="center"/>
    </xf>
    <xf numFmtId="173" fontId="15" fillId="0" borderId="6" xfId="0" applyNumberFormat="1" applyFont="1" applyBorder="1" applyAlignment="1">
      <alignment horizontal="center"/>
    </xf>
    <xf numFmtId="174" fontId="15" fillId="0" borderId="75" xfId="0" applyNumberFormat="1" applyFont="1" applyBorder="1"/>
    <xf numFmtId="174" fontId="15" fillId="0" borderId="158" xfId="0" applyNumberFormat="1" applyFont="1" applyBorder="1"/>
    <xf numFmtId="172" fontId="15" fillId="0" borderId="83" xfId="3" applyNumberFormat="1" applyFont="1" applyBorder="1" applyAlignment="1">
      <alignment horizontal="center"/>
    </xf>
    <xf numFmtId="174" fontId="15" fillId="0" borderId="83" xfId="3" applyNumberFormat="1" applyFont="1" applyBorder="1" applyAlignment="1">
      <alignment horizontal="center"/>
    </xf>
    <xf numFmtId="10" fontId="15" fillId="0" borderId="83" xfId="3" applyNumberFormat="1" applyFont="1" applyBorder="1" applyAlignment="1">
      <alignment horizontal="center"/>
    </xf>
    <xf numFmtId="173" fontId="15" fillId="0" borderId="159" xfId="3" applyNumberFormat="1" applyFont="1" applyBorder="1" applyAlignment="1">
      <alignment horizontal="center"/>
    </xf>
    <xf numFmtId="174" fontId="24" fillId="13" borderId="158" xfId="0" applyNumberFormat="1" applyFont="1" applyFill="1" applyBorder="1" applyAlignment="1">
      <alignment horizontal="center" wrapText="1"/>
    </xf>
    <xf numFmtId="174" fontId="24" fillId="13" borderId="83" xfId="0" applyNumberFormat="1" applyFont="1" applyFill="1" applyBorder="1" applyAlignment="1">
      <alignment horizontal="center" wrapText="1"/>
    </xf>
    <xf numFmtId="174" fontId="24" fillId="13" borderId="83" xfId="0" applyNumberFormat="1" applyFont="1" applyFill="1" applyBorder="1" applyAlignment="1">
      <alignment horizontal="center"/>
    </xf>
    <xf numFmtId="173" fontId="24" fillId="13" borderId="159" xfId="0" applyNumberFormat="1" applyFont="1" applyFill="1" applyBorder="1" applyAlignment="1">
      <alignment horizontal="center" wrapText="1"/>
    </xf>
    <xf numFmtId="172" fontId="24" fillId="0" borderId="158" xfId="0" applyNumberFormat="1" applyFont="1" applyBorder="1" applyAlignment="1">
      <alignment horizontal="center"/>
    </xf>
    <xf numFmtId="172" fontId="24" fillId="0" borderId="83" xfId="0" applyNumberFormat="1" applyFont="1" applyBorder="1" applyAlignment="1">
      <alignment horizontal="center"/>
    </xf>
    <xf numFmtId="173" fontId="24" fillId="0" borderId="159" xfId="0" applyNumberFormat="1" applyFont="1" applyBorder="1" applyAlignment="1">
      <alignment horizontal="center"/>
    </xf>
    <xf numFmtId="175" fontId="15" fillId="0" borderId="0" xfId="0" applyNumberFormat="1" applyFont="1"/>
    <xf numFmtId="174" fontId="15" fillId="0" borderId="0" xfId="0" applyNumberFormat="1" applyFont="1"/>
    <xf numFmtId="10" fontId="24" fillId="0" borderId="83" xfId="3" applyNumberFormat="1" applyFont="1" applyFill="1" applyBorder="1" applyAlignment="1">
      <alignment horizontal="center"/>
    </xf>
    <xf numFmtId="174" fontId="24" fillId="0" borderId="83" xfId="0" applyNumberFormat="1" applyFont="1" applyBorder="1"/>
    <xf numFmtId="173" fontId="15" fillId="0" borderId="6" xfId="0" applyNumberFormat="1" applyFont="1" applyBorder="1"/>
    <xf numFmtId="173" fontId="24" fillId="0" borderId="123" xfId="0" applyNumberFormat="1" applyFont="1" applyBorder="1" applyAlignment="1">
      <alignment horizontal="center"/>
    </xf>
    <xf numFmtId="175" fontId="24" fillId="0" borderId="0" xfId="0" applyNumberFormat="1" applyFont="1"/>
    <xf numFmtId="10" fontId="24" fillId="0" borderId="82" xfId="3" applyNumberFormat="1" applyFont="1" applyFill="1" applyBorder="1" applyAlignment="1">
      <alignment horizontal="center"/>
    </xf>
    <xf numFmtId="174" fontId="24" fillId="0" borderId="84" xfId="0" applyNumberFormat="1" applyFont="1" applyBorder="1"/>
    <xf numFmtId="174" fontId="24" fillId="0" borderId="0" xfId="0" applyNumberFormat="1" applyFont="1" applyAlignment="1">
      <alignment horizontal="left"/>
    </xf>
    <xf numFmtId="10" fontId="15" fillId="0" borderId="91" xfId="3" applyNumberFormat="1" applyFont="1" applyFill="1" applyBorder="1"/>
    <xf numFmtId="174" fontId="24" fillId="0" borderId="160" xfId="0" applyNumberFormat="1" applyFont="1" applyBorder="1"/>
    <xf numFmtId="174" fontId="24" fillId="0" borderId="0" xfId="0" applyNumberFormat="1" applyFont="1"/>
    <xf numFmtId="170" fontId="15" fillId="0" borderId="0" xfId="3" applyNumberFormat="1" applyFont="1" applyFill="1" applyBorder="1"/>
    <xf numFmtId="174" fontId="24" fillId="0" borderId="77" xfId="0" applyNumberFormat="1" applyFont="1" applyBorder="1"/>
    <xf numFmtId="174" fontId="15" fillId="0" borderId="5" xfId="0" applyNumberFormat="1" applyFont="1" applyBorder="1"/>
    <xf numFmtId="174" fontId="0" fillId="0" borderId="4" xfId="0" applyNumberFormat="1" applyBorder="1"/>
    <xf numFmtId="174" fontId="24" fillId="0" borderId="161" xfId="0" applyNumberFormat="1" applyFont="1" applyBorder="1" applyAlignment="1">
      <alignment horizontal="center"/>
    </xf>
    <xf numFmtId="10" fontId="15" fillId="0" borderId="161" xfId="3" applyNumberFormat="1" applyFont="1" applyFill="1" applyBorder="1"/>
    <xf numFmtId="173" fontId="24" fillId="0" borderId="4" xfId="0" applyNumberFormat="1" applyFont="1" applyBorder="1" applyAlignment="1">
      <alignment horizontal="right"/>
    </xf>
    <xf numFmtId="173" fontId="0" fillId="0" borderId="3" xfId="0" applyNumberFormat="1" applyBorder="1"/>
    <xf numFmtId="0" fontId="63" fillId="0" borderId="0" xfId="0" applyFont="1"/>
    <xf numFmtId="174" fontId="63" fillId="0" borderId="0" xfId="0" applyNumberFormat="1" applyFont="1"/>
    <xf numFmtId="173" fontId="63" fillId="0" borderId="0" xfId="0" applyNumberFormat="1" applyFont="1"/>
    <xf numFmtId="44" fontId="0" fillId="0" borderId="162" xfId="2" applyFont="1" applyBorder="1" applyAlignment="1">
      <alignment vertical="center"/>
    </xf>
    <xf numFmtId="44" fontId="0" fillId="0" borderId="163" xfId="2" applyFont="1" applyBorder="1" applyAlignment="1">
      <alignment vertical="center"/>
    </xf>
    <xf numFmtId="0" fontId="17" fillId="0" borderId="164" xfId="0" applyFont="1" applyBorder="1" applyAlignment="1">
      <alignment wrapText="1"/>
    </xf>
    <xf numFmtId="0" fontId="3" fillId="0" borderId="162" xfId="0" applyFont="1" applyBorder="1"/>
    <xf numFmtId="0" fontId="3" fillId="0" borderId="163" xfId="0" applyFont="1" applyBorder="1"/>
    <xf numFmtId="0" fontId="3" fillId="0" borderId="164" xfId="0" applyFont="1" applyBorder="1"/>
    <xf numFmtId="44" fontId="3" fillId="0" borderId="165" xfId="2" applyFont="1" applyBorder="1" applyAlignment="1">
      <alignment vertical="center"/>
    </xf>
    <xf numFmtId="44" fontId="0" fillId="0" borderId="166" xfId="2" applyFont="1" applyBorder="1" applyAlignment="1">
      <alignment vertical="center"/>
    </xf>
    <xf numFmtId="44" fontId="0" fillId="0" borderId="167" xfId="2" applyFont="1" applyBorder="1" applyAlignment="1">
      <alignment vertical="center"/>
    </xf>
    <xf numFmtId="0" fontId="0" fillId="0" borderId="167" xfId="0" applyBorder="1"/>
    <xf numFmtId="0" fontId="3" fillId="0" borderId="168" xfId="0" applyFont="1" applyBorder="1"/>
    <xf numFmtId="44" fontId="0" fillId="0" borderId="169" xfId="2" applyFont="1" applyBorder="1" applyAlignment="1">
      <alignment vertical="center"/>
    </xf>
    <xf numFmtId="44" fontId="0" fillId="0" borderId="170" xfId="2" applyFont="1" applyBorder="1" applyAlignment="1">
      <alignment vertical="center"/>
    </xf>
    <xf numFmtId="44" fontId="0" fillId="0" borderId="171" xfId="2" applyFont="1" applyBorder="1" applyAlignment="1">
      <alignment vertical="center"/>
    </xf>
    <xf numFmtId="0" fontId="0" fillId="0" borderId="171" xfId="0" applyBorder="1"/>
    <xf numFmtId="0" fontId="0" fillId="0" borderId="98" xfId="0" applyBorder="1" applyAlignment="1">
      <alignment vertical="center"/>
    </xf>
    <xf numFmtId="0" fontId="3" fillId="0" borderId="111" xfId="0" applyFont="1" applyBorder="1" applyAlignment="1">
      <alignment vertical="center" wrapText="1"/>
    </xf>
    <xf numFmtId="0" fontId="0" fillId="0" borderId="172" xfId="0" applyBorder="1"/>
    <xf numFmtId="0" fontId="0" fillId="0" borderId="173" xfId="0" applyBorder="1"/>
    <xf numFmtId="0" fontId="0" fillId="0" borderId="174" xfId="0" applyBorder="1"/>
    <xf numFmtId="0" fontId="3" fillId="0" borderId="109" xfId="0" applyFont="1" applyBorder="1"/>
    <xf numFmtId="0" fontId="3" fillId="0" borderId="175" xfId="0" applyFont="1" applyBorder="1"/>
    <xf numFmtId="0" fontId="0" fillId="0" borderId="0" xfId="0" applyAlignment="1">
      <alignment vertical="center" wrapText="1"/>
    </xf>
    <xf numFmtId="0" fontId="3" fillId="0" borderId="176" xfId="0" applyFont="1" applyBorder="1" applyAlignment="1">
      <alignment vertical="center" wrapText="1"/>
    </xf>
    <xf numFmtId="44" fontId="3" fillId="0" borderId="72" xfId="2" applyFont="1" applyBorder="1" applyAlignment="1">
      <alignment vertical="center"/>
    </xf>
    <xf numFmtId="44" fontId="0" fillId="0" borderId="0" xfId="0" applyNumberFormat="1" applyAlignment="1">
      <alignment vertical="center"/>
    </xf>
    <xf numFmtId="0" fontId="0" fillId="0" borderId="177" xfId="0" applyBorder="1" applyAlignment="1">
      <alignment wrapText="1"/>
    </xf>
    <xf numFmtId="44" fontId="0" fillId="0" borderId="178" xfId="2" applyFont="1" applyBorder="1" applyAlignment="1">
      <alignment vertical="center"/>
    </xf>
    <xf numFmtId="44" fontId="0" fillId="0" borderId="176" xfId="0" applyNumberFormat="1" applyBorder="1" applyAlignment="1">
      <alignment wrapText="1"/>
    </xf>
    <xf numFmtId="44" fontId="3" fillId="0" borderId="179" xfId="2" applyFont="1" applyBorder="1"/>
    <xf numFmtId="44" fontId="0" fillId="0" borderId="110" xfId="0" applyNumberFormat="1" applyBorder="1"/>
    <xf numFmtId="44" fontId="0" fillId="0" borderId="180" xfId="0" applyNumberFormat="1" applyBorder="1"/>
    <xf numFmtId="0" fontId="0" fillId="0" borderId="180" xfId="0" applyBorder="1"/>
    <xf numFmtId="0" fontId="0" fillId="0" borderId="111" xfId="0" applyBorder="1"/>
    <xf numFmtId="0" fontId="3" fillId="5" borderId="98" xfId="0" applyFont="1" applyFill="1" applyBorder="1"/>
    <xf numFmtId="44" fontId="0" fillId="0" borderId="155" xfId="2" applyFont="1" applyBorder="1"/>
    <xf numFmtId="44" fontId="0" fillId="0" borderId="112" xfId="0" applyNumberFormat="1" applyBorder="1"/>
    <xf numFmtId="44" fontId="0" fillId="0" borderId="181" xfId="0" applyNumberFormat="1" applyBorder="1"/>
    <xf numFmtId="0" fontId="0" fillId="0" borderId="181" xfId="0" applyBorder="1"/>
    <xf numFmtId="0" fontId="0" fillId="0" borderId="113" xfId="0" applyBorder="1"/>
    <xf numFmtId="168" fontId="3" fillId="0" borderId="72" xfId="0" applyNumberFormat="1" applyFont="1" applyBorder="1"/>
    <xf numFmtId="2" fontId="3" fillId="0" borderId="170" xfId="0" applyNumberFormat="1" applyFont="1" applyBorder="1"/>
    <xf numFmtId="2" fontId="3" fillId="0" borderId="171" xfId="0" applyNumberFormat="1" applyFont="1" applyBorder="1"/>
    <xf numFmtId="0" fontId="3" fillId="0" borderId="171" xfId="0" applyFont="1" applyBorder="1"/>
    <xf numFmtId="0" fontId="3" fillId="0" borderId="98" xfId="0" applyFont="1" applyBorder="1"/>
    <xf numFmtId="164" fontId="0" fillId="0" borderId="178" xfId="0" applyNumberFormat="1" applyBorder="1"/>
    <xf numFmtId="164" fontId="0" fillId="0" borderId="182" xfId="7" applyFont="1" applyBorder="1"/>
    <xf numFmtId="0" fontId="0" fillId="0" borderId="182" xfId="0" applyBorder="1"/>
    <xf numFmtId="0" fontId="0" fillId="0" borderId="183" xfId="0" applyBorder="1"/>
    <xf numFmtId="44" fontId="3" fillId="0" borderId="184" xfId="0" applyNumberFormat="1" applyFont="1" applyBorder="1"/>
    <xf numFmtId="44" fontId="3" fillId="0" borderId="171" xfId="0" applyNumberFormat="1" applyFont="1" applyBorder="1"/>
    <xf numFmtId="44" fontId="3" fillId="0" borderId="185" xfId="0" applyNumberFormat="1" applyFont="1" applyBorder="1"/>
    <xf numFmtId="44" fontId="0" fillId="0" borderId="186" xfId="0" applyNumberFormat="1" applyBorder="1"/>
    <xf numFmtId="0" fontId="0" fillId="0" borderId="78" xfId="0" applyBorder="1"/>
    <xf numFmtId="0" fontId="0" fillId="0" borderId="187" xfId="0" applyBorder="1"/>
    <xf numFmtId="44" fontId="0" fillId="0" borderId="187" xfId="0" applyNumberFormat="1" applyBorder="1"/>
    <xf numFmtId="44" fontId="0" fillId="0" borderId="182" xfId="0" applyNumberFormat="1" applyBorder="1"/>
    <xf numFmtId="44" fontId="0" fillId="0" borderId="99" xfId="0" applyNumberFormat="1" applyBorder="1"/>
    <xf numFmtId="44" fontId="0" fillId="0" borderId="188" xfId="0" applyNumberFormat="1" applyBorder="1"/>
    <xf numFmtId="44" fontId="0" fillId="0" borderId="189" xfId="0" applyNumberFormat="1" applyBorder="1"/>
    <xf numFmtId="0" fontId="0" fillId="0" borderId="189" xfId="0" applyBorder="1"/>
    <xf numFmtId="0" fontId="0" fillId="0" borderId="190" xfId="0" applyBorder="1"/>
    <xf numFmtId="44" fontId="0" fillId="0" borderId="7" xfId="0" applyNumberFormat="1" applyBorder="1"/>
    <xf numFmtId="10" fontId="0" fillId="0" borderId="0" xfId="3" applyNumberFormat="1" applyFont="1"/>
    <xf numFmtId="44" fontId="25" fillId="0" borderId="171" xfId="0" applyNumberFormat="1" applyFont="1" applyBorder="1"/>
    <xf numFmtId="0" fontId="25" fillId="0" borderId="191" xfId="0" applyFont="1" applyBorder="1"/>
    <xf numFmtId="0" fontId="25" fillId="0" borderId="98" xfId="0" applyFont="1" applyBorder="1"/>
    <xf numFmtId="44" fontId="17" fillId="0" borderId="187" xfId="0" applyNumberFormat="1" applyFont="1" applyBorder="1"/>
    <xf numFmtId="44" fontId="17" fillId="0" borderId="182" xfId="0" applyNumberFormat="1" applyFont="1" applyBorder="1"/>
    <xf numFmtId="0" fontId="17" fillId="0" borderId="192" xfId="0" applyFont="1" applyBorder="1"/>
    <xf numFmtId="0" fontId="17" fillId="0" borderId="183" xfId="0" applyFont="1" applyBorder="1"/>
    <xf numFmtId="44" fontId="17" fillId="0" borderId="193" xfId="0" applyNumberFormat="1" applyFont="1" applyBorder="1"/>
    <xf numFmtId="44" fontId="17" fillId="0" borderId="83" xfId="0" applyNumberFormat="1" applyFont="1" applyBorder="1"/>
    <xf numFmtId="0" fontId="17" fillId="0" borderId="194" xfId="0" applyFont="1" applyBorder="1"/>
    <xf numFmtId="0" fontId="17" fillId="0" borderId="84" xfId="0" applyFont="1" applyBorder="1"/>
    <xf numFmtId="0" fontId="0" fillId="0" borderId="192" xfId="0" applyBorder="1"/>
    <xf numFmtId="0" fontId="0" fillId="0" borderId="78" xfId="0" applyBorder="1" applyAlignment="1">
      <alignment wrapText="1"/>
    </xf>
    <xf numFmtId="0" fontId="0" fillId="0" borderId="165" xfId="0" applyBorder="1" applyAlignment="1">
      <alignment horizontal="center" vertical="center"/>
    </xf>
    <xf numFmtId="0" fontId="0" fillId="0" borderId="157" xfId="0" applyBorder="1" applyAlignment="1">
      <alignment horizontal="center"/>
    </xf>
    <xf numFmtId="0" fontId="0" fillId="0" borderId="76" xfId="0" applyBorder="1" applyAlignment="1">
      <alignment horizontal="center"/>
    </xf>
    <xf numFmtId="0" fontId="0" fillId="0" borderId="139" xfId="0" applyBorder="1" applyAlignment="1">
      <alignment horizontal="center"/>
    </xf>
    <xf numFmtId="0" fontId="0" fillId="0" borderId="165" xfId="0" applyBorder="1"/>
    <xf numFmtId="0" fontId="0" fillId="0" borderId="7"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3" xfId="0" applyBorder="1" applyAlignment="1">
      <alignment horizontal="center"/>
    </xf>
    <xf numFmtId="0" fontId="3" fillId="0" borderId="7" xfId="0" applyFont="1" applyBorder="1"/>
    <xf numFmtId="44" fontId="0" fillId="0" borderId="80" xfId="0" applyNumberFormat="1" applyBorder="1"/>
    <xf numFmtId="44" fontId="0" fillId="0" borderId="81" xfId="0" applyNumberFormat="1" applyBorder="1"/>
    <xf numFmtId="44" fontId="0" fillId="0" borderId="195" xfId="0" applyNumberFormat="1" applyBorder="1"/>
    <xf numFmtId="0" fontId="0" fillId="0" borderId="195" xfId="0" applyBorder="1"/>
    <xf numFmtId="0" fontId="3" fillId="0" borderId="196" xfId="0" applyFont="1" applyBorder="1"/>
    <xf numFmtId="44" fontId="0" fillId="0" borderId="165" xfId="0" applyNumberFormat="1" applyBorder="1"/>
    <xf numFmtId="0" fontId="0" fillId="0" borderId="75" xfId="0" applyBorder="1"/>
    <xf numFmtId="44" fontId="0" fillId="0" borderId="75" xfId="0" applyNumberFormat="1" applyBorder="1"/>
    <xf numFmtId="0" fontId="3" fillId="0" borderId="6" xfId="0" applyFont="1" applyBorder="1"/>
    <xf numFmtId="44" fontId="0" fillId="0" borderId="4" xfId="0" applyNumberFormat="1" applyBorder="1"/>
    <xf numFmtId="44" fontId="3" fillId="0" borderId="186" xfId="0" applyNumberFormat="1" applyFont="1" applyBorder="1" applyAlignment="1">
      <alignment vertical="center"/>
    </xf>
    <xf numFmtId="44" fontId="3" fillId="0" borderId="0" xfId="0" applyNumberFormat="1" applyFont="1" applyAlignment="1">
      <alignment vertical="center"/>
    </xf>
    <xf numFmtId="0" fontId="3" fillId="0" borderId="6" xfId="0" applyFont="1" applyBorder="1" applyAlignment="1">
      <alignment vertical="center" wrapText="1"/>
    </xf>
    <xf numFmtId="44" fontId="3" fillId="0" borderId="80" xfId="0" applyNumberFormat="1" applyFont="1" applyBorder="1" applyAlignment="1">
      <alignment vertical="center"/>
    </xf>
    <xf numFmtId="44" fontId="3" fillId="0" borderId="195" xfId="0" applyNumberFormat="1" applyFont="1" applyBorder="1" applyAlignment="1">
      <alignment vertical="center"/>
    </xf>
    <xf numFmtId="0" fontId="3" fillId="0" borderId="196" xfId="0" applyFont="1" applyBorder="1" applyAlignment="1">
      <alignment vertical="center" wrapText="1"/>
    </xf>
    <xf numFmtId="44" fontId="3" fillId="0" borderId="186" xfId="0" applyNumberFormat="1" applyFont="1" applyBorder="1"/>
    <xf numFmtId="0" fontId="15" fillId="0" borderId="0" xfId="0" applyFont="1"/>
    <xf numFmtId="44" fontId="15" fillId="0" borderId="186" xfId="0" applyNumberFormat="1" applyFont="1" applyBorder="1"/>
    <xf numFmtId="44" fontId="15" fillId="0" borderId="0" xfId="0" applyNumberFormat="1" applyFont="1"/>
    <xf numFmtId="0" fontId="24" fillId="0" borderId="6" xfId="0" applyFont="1" applyBorder="1"/>
    <xf numFmtId="0" fontId="15" fillId="0" borderId="6" xfId="0" applyFont="1" applyBorder="1"/>
    <xf numFmtId="44" fontId="0" fillId="0" borderId="186" xfId="0" applyNumberFormat="1" applyBorder="1" applyAlignment="1">
      <alignment vertical="center"/>
    </xf>
    <xf numFmtId="0" fontId="0" fillId="0" borderId="6" xfId="0" applyBorder="1" applyAlignment="1">
      <alignment vertical="center" wrapText="1"/>
    </xf>
    <xf numFmtId="0" fontId="3" fillId="0" borderId="6" xfId="0" applyFont="1" applyBorder="1" applyAlignment="1">
      <alignment horizontal="left"/>
    </xf>
    <xf numFmtId="44" fontId="0" fillId="0" borderId="0" xfId="0" applyNumberFormat="1" applyAlignment="1">
      <alignment horizontal="center"/>
    </xf>
    <xf numFmtId="0" fontId="0" fillId="0" borderId="6" xfId="0" applyBorder="1" applyAlignment="1">
      <alignment horizontal="left"/>
    </xf>
    <xf numFmtId="44" fontId="0" fillId="0" borderId="186" xfId="2" applyFont="1" applyBorder="1"/>
    <xf numFmtId="0" fontId="0" fillId="0" borderId="3" xfId="0" applyBorder="1" applyAlignment="1">
      <alignment horizontal="left" vertical="center"/>
    </xf>
    <xf numFmtId="0" fontId="0" fillId="0" borderId="80" xfId="0" applyBorder="1" applyAlignment="1">
      <alignment horizontal="center" vertical="center"/>
    </xf>
    <xf numFmtId="0" fontId="0" fillId="0" borderId="195" xfId="0" applyBorder="1" applyAlignment="1">
      <alignment horizontal="center"/>
    </xf>
    <xf numFmtId="0" fontId="3" fillId="0" borderId="196" xfId="0" applyFont="1" applyBorder="1" applyAlignment="1">
      <alignment horizontal="center"/>
    </xf>
    <xf numFmtId="0" fontId="3" fillId="0" borderId="139" xfId="0" applyFont="1" applyBorder="1"/>
    <xf numFmtId="10" fontId="1" fillId="0" borderId="0" xfId="3" applyNumberFormat="1" applyFont="1" applyAlignment="1">
      <alignment vertical="center"/>
    </xf>
    <xf numFmtId="44" fontId="17" fillId="0" borderId="186" xfId="0" applyNumberFormat="1" applyFont="1" applyBorder="1" applyAlignment="1">
      <alignment vertical="center"/>
    </xf>
    <xf numFmtId="0" fontId="17" fillId="0" borderId="6" xfId="0" applyFont="1" applyBorder="1" applyAlignment="1">
      <alignment vertical="center" wrapText="1"/>
    </xf>
    <xf numFmtId="10" fontId="17" fillId="0" borderId="0" xfId="3" applyNumberFormat="1" applyFont="1" applyAlignment="1">
      <alignment vertical="center"/>
    </xf>
    <xf numFmtId="0" fontId="0" fillId="0" borderId="6" xfId="0" applyBorder="1" applyAlignment="1">
      <alignment wrapText="1"/>
    </xf>
    <xf numFmtId="44" fontId="17" fillId="0" borderId="186" xfId="0" applyNumberFormat="1" applyFont="1" applyBorder="1"/>
    <xf numFmtId="0" fontId="17" fillId="0" borderId="6" xfId="0" applyFont="1" applyBorder="1"/>
    <xf numFmtId="10" fontId="0" fillId="0" borderId="0" xfId="3" applyNumberFormat="1" applyFont="1" applyAlignment="1">
      <alignment vertical="center"/>
    </xf>
    <xf numFmtId="0" fontId="0" fillId="0" borderId="0" xfId="0" applyAlignment="1">
      <alignment horizontal="center"/>
    </xf>
    <xf numFmtId="0" fontId="3" fillId="0" borderId="139" xfId="0" applyFont="1" applyBorder="1" applyAlignment="1">
      <alignment horizontal="center"/>
    </xf>
    <xf numFmtId="0" fontId="0" fillId="0" borderId="165" xfId="0" applyBorder="1" applyAlignment="1">
      <alignment horizontal="center" wrapText="1"/>
    </xf>
    <xf numFmtId="44" fontId="25" fillId="0" borderId="97" xfId="0" applyNumberFormat="1" applyFont="1" applyBorder="1"/>
    <xf numFmtId="44" fontId="0" fillId="0" borderId="162" xfId="0" applyNumberFormat="1" applyBorder="1"/>
    <xf numFmtId="44" fontId="40" fillId="0" borderId="163" xfId="2" applyFont="1" applyBorder="1"/>
    <xf numFmtId="43" fontId="40" fillId="0" borderId="163" xfId="0" applyNumberFormat="1" applyFont="1" applyBorder="1"/>
    <xf numFmtId="0" fontId="0" fillId="0" borderId="164" xfId="0" applyBorder="1"/>
    <xf numFmtId="0" fontId="0" fillId="0" borderId="162" xfId="0" applyBorder="1"/>
    <xf numFmtId="0" fontId="0" fillId="0" borderId="163" xfId="0" applyBorder="1"/>
    <xf numFmtId="44" fontId="3" fillId="0" borderId="81" xfId="0" applyNumberFormat="1" applyFont="1" applyBorder="1"/>
    <xf numFmtId="0" fontId="0" fillId="0" borderId="197" xfId="0" applyBorder="1"/>
    <xf numFmtId="44" fontId="17" fillId="0" borderId="81" xfId="0" applyNumberFormat="1" applyFont="1" applyBorder="1" applyAlignment="1">
      <alignment vertical="center"/>
    </xf>
    <xf numFmtId="44" fontId="17" fillId="0" borderId="195" xfId="0" applyNumberFormat="1" applyFont="1" applyBorder="1" applyAlignment="1">
      <alignment vertical="center"/>
    </xf>
    <xf numFmtId="44" fontId="17" fillId="0" borderId="196" xfId="0" applyNumberFormat="1" applyFont="1" applyBorder="1" applyAlignment="1">
      <alignment vertical="center"/>
    </xf>
    <xf numFmtId="44" fontId="17" fillId="0" borderId="198" xfId="0" applyNumberFormat="1" applyFont="1" applyBorder="1" applyAlignment="1">
      <alignment vertical="center"/>
    </xf>
    <xf numFmtId="0" fontId="17" fillId="0" borderId="199" xfId="0" applyFont="1" applyBorder="1" applyAlignment="1">
      <alignment vertical="center"/>
    </xf>
    <xf numFmtId="44" fontId="17" fillId="0" borderId="200" xfId="0" applyNumberFormat="1" applyFont="1" applyBorder="1" applyAlignment="1">
      <alignment vertical="center"/>
    </xf>
    <xf numFmtId="0" fontId="17" fillId="0" borderId="201" xfId="0" applyFont="1" applyBorder="1" applyAlignment="1">
      <alignment vertical="center" wrapText="1"/>
    </xf>
    <xf numFmtId="44" fontId="0" fillId="0" borderId="202" xfId="2" applyFont="1" applyBorder="1" applyAlignment="1">
      <alignment vertical="center"/>
    </xf>
    <xf numFmtId="0" fontId="40" fillId="0" borderId="122" xfId="0" applyFont="1" applyBorder="1" applyAlignment="1">
      <alignment vertical="center"/>
    </xf>
    <xf numFmtId="44" fontId="40" fillId="0" borderId="203" xfId="2" applyFont="1" applyBorder="1" applyAlignment="1">
      <alignment vertical="center"/>
    </xf>
    <xf numFmtId="44" fontId="64" fillId="0" borderId="203" xfId="2" applyFont="1" applyFill="1" applyBorder="1" applyAlignment="1">
      <alignment vertical="center"/>
    </xf>
    <xf numFmtId="0" fontId="0" fillId="0" borderId="203" xfId="0" applyBorder="1" applyAlignment="1">
      <alignment vertical="center"/>
    </xf>
    <xf numFmtId="44" fontId="0" fillId="0" borderId="123" xfId="2" applyFont="1" applyBorder="1" applyAlignment="1">
      <alignment vertical="center"/>
    </xf>
    <xf numFmtId="0" fontId="40" fillId="0" borderId="124" xfId="0" applyFont="1" applyBorder="1" applyAlignment="1">
      <alignment vertical="center"/>
    </xf>
    <xf numFmtId="44" fontId="40" fillId="0" borderId="91" xfId="2" applyFont="1" applyBorder="1" applyAlignment="1">
      <alignment vertical="center"/>
    </xf>
    <xf numFmtId="44" fontId="40" fillId="0" borderId="91" xfId="2" applyFont="1" applyFill="1" applyBorder="1" applyAlignment="1">
      <alignment vertical="center"/>
    </xf>
    <xf numFmtId="0" fontId="0" fillId="0" borderId="204" xfId="0" applyBorder="1" applyAlignment="1">
      <alignment vertical="center"/>
    </xf>
    <xf numFmtId="44" fontId="0" fillId="14" borderId="205" xfId="2" applyFont="1" applyFill="1" applyBorder="1" applyAlignment="1">
      <alignment vertical="center"/>
    </xf>
    <xf numFmtId="0" fontId="39" fillId="14" borderId="206" xfId="0" applyFont="1" applyFill="1" applyBorder="1" applyAlignment="1">
      <alignment vertical="center"/>
    </xf>
    <xf numFmtId="44" fontId="40" fillId="14" borderId="101" xfId="2" applyFont="1" applyFill="1" applyBorder="1" applyAlignment="1">
      <alignment vertical="center"/>
    </xf>
    <xf numFmtId="0" fontId="0" fillId="14" borderId="204" xfId="0" applyFill="1" applyBorder="1" applyAlignment="1">
      <alignment vertical="center"/>
    </xf>
    <xf numFmtId="0" fontId="0" fillId="14" borderId="206" xfId="0" applyFill="1" applyBorder="1" applyAlignment="1">
      <alignment vertical="center" wrapText="1"/>
    </xf>
    <xf numFmtId="44" fontId="0" fillId="0" borderId="125" xfId="2" applyFont="1" applyBorder="1" applyAlignment="1">
      <alignment vertical="center"/>
    </xf>
    <xf numFmtId="0" fontId="0" fillId="0" borderId="127" xfId="0" applyBorder="1" applyAlignment="1">
      <alignment vertical="center"/>
    </xf>
    <xf numFmtId="44" fontId="40" fillId="0" borderId="126" xfId="2" applyFont="1" applyBorder="1" applyAlignment="1">
      <alignment vertical="center"/>
    </xf>
    <xf numFmtId="44" fontId="0" fillId="0" borderId="126" xfId="2" applyFont="1" applyFill="1" applyBorder="1" applyAlignment="1">
      <alignment vertical="center"/>
    </xf>
    <xf numFmtId="0" fontId="40" fillId="0" borderId="126" xfId="0" applyFont="1" applyBorder="1" applyAlignment="1">
      <alignment vertical="center"/>
    </xf>
    <xf numFmtId="0" fontId="0" fillId="0" borderId="126" xfId="0" applyBorder="1" applyAlignment="1">
      <alignment vertical="center"/>
    </xf>
    <xf numFmtId="0" fontId="3" fillId="0" borderId="207" xfId="0" applyFont="1" applyBorder="1" applyAlignment="1">
      <alignment horizontal="center" vertical="center"/>
    </xf>
    <xf numFmtId="0" fontId="3" fillId="0" borderId="208" xfId="0" applyFont="1" applyBorder="1" applyAlignment="1">
      <alignment horizontal="center" vertical="center" wrapText="1"/>
    </xf>
    <xf numFmtId="44" fontId="3" fillId="0" borderId="208" xfId="2" applyFont="1" applyBorder="1" applyAlignment="1">
      <alignment horizontal="center" vertical="center" wrapText="1"/>
    </xf>
    <xf numFmtId="0" fontId="3" fillId="0" borderId="209" xfId="0" applyFont="1" applyBorder="1" applyAlignment="1">
      <alignment horizontal="center" vertical="center" wrapText="1"/>
    </xf>
    <xf numFmtId="0" fontId="3" fillId="0" borderId="7" xfId="0" applyFont="1" applyBorder="1" applyAlignment="1">
      <alignment horizontal="center" vertical="center"/>
    </xf>
    <xf numFmtId="44" fontId="17" fillId="0" borderId="210" xfId="2" applyFont="1" applyBorder="1"/>
    <xf numFmtId="0" fontId="17" fillId="0" borderId="211" xfId="0" applyFont="1" applyBorder="1"/>
    <xf numFmtId="0" fontId="17" fillId="0" borderId="212" xfId="0" applyFont="1" applyBorder="1"/>
    <xf numFmtId="44" fontId="40" fillId="0" borderId="213" xfId="2" applyFont="1" applyBorder="1" applyAlignment="1">
      <alignment horizontal="center" vertical="center"/>
    </xf>
    <xf numFmtId="0" fontId="0" fillId="0" borderId="91" xfId="0" applyBorder="1" applyAlignment="1">
      <alignment horizontal="center" vertical="center"/>
    </xf>
    <xf numFmtId="0" fontId="0" fillId="0" borderId="214" xfId="0" applyBorder="1"/>
    <xf numFmtId="0" fontId="15" fillId="0" borderId="4" xfId="0" applyFont="1" applyBorder="1"/>
    <xf numFmtId="44" fontId="0" fillId="0" borderId="213" xfId="2" applyFont="1" applyBorder="1" applyAlignment="1">
      <alignment horizontal="center" vertical="center"/>
    </xf>
    <xf numFmtId="44" fontId="40" fillId="0" borderId="91" xfId="2" applyFont="1" applyBorder="1" applyAlignment="1">
      <alignment horizontal="center" vertical="center"/>
    </xf>
    <xf numFmtId="44" fontId="3" fillId="0" borderId="81" xfId="2" applyFont="1" applyBorder="1"/>
    <xf numFmtId="44" fontId="40" fillId="0" borderId="215" xfId="2" applyFont="1" applyBorder="1" applyAlignment="1">
      <alignment horizontal="center" vertical="center"/>
    </xf>
    <xf numFmtId="0" fontId="0" fillId="0" borderId="126" xfId="0" applyBorder="1" applyAlignment="1">
      <alignment horizontal="center" vertical="center"/>
    </xf>
    <xf numFmtId="0" fontId="0" fillId="0" borderId="216" xfId="0" applyBorder="1"/>
    <xf numFmtId="44" fontId="0" fillId="0" borderId="75" xfId="2" applyFont="1" applyBorder="1"/>
    <xf numFmtId="44" fontId="0" fillId="0" borderId="217" xfId="0" applyNumberFormat="1" applyBorder="1"/>
    <xf numFmtId="9" fontId="0" fillId="0" borderId="217" xfId="0" applyNumberFormat="1" applyBorder="1"/>
    <xf numFmtId="0" fontId="23" fillId="0" borderId="6" xfId="0" applyFont="1" applyBorder="1"/>
    <xf numFmtId="0" fontId="3" fillId="0" borderId="162" xfId="0" applyFont="1" applyBorder="1" applyAlignment="1">
      <alignment horizontal="center" vertical="center"/>
    </xf>
    <xf numFmtId="0" fontId="3" fillId="0" borderId="163" xfId="0" applyFont="1" applyBorder="1" applyAlignment="1">
      <alignment horizontal="center" vertical="center"/>
    </xf>
    <xf numFmtId="0" fontId="3" fillId="0" borderId="164" xfId="0" applyFont="1" applyBorder="1" applyAlignment="1">
      <alignment vertical="center"/>
    </xf>
    <xf numFmtId="44" fontId="17" fillId="0" borderId="218" xfId="0" applyNumberFormat="1" applyFont="1" applyBorder="1"/>
    <xf numFmtId="0" fontId="17" fillId="0" borderId="120" xfId="0" applyFont="1" applyBorder="1"/>
    <xf numFmtId="44" fontId="0" fillId="0" borderId="166" xfId="2" applyFont="1" applyBorder="1"/>
    <xf numFmtId="44" fontId="40" fillId="0" borderId="167" xfId="2" applyFont="1" applyBorder="1"/>
    <xf numFmtId="164" fontId="40" fillId="0" borderId="167" xfId="7" applyFont="1" applyBorder="1"/>
    <xf numFmtId="0" fontId="23" fillId="0" borderId="219" xfId="0" applyFont="1" applyBorder="1"/>
    <xf numFmtId="44" fontId="40" fillId="0" borderId="0" xfId="2" applyFont="1"/>
    <xf numFmtId="164" fontId="40" fillId="0" borderId="0" xfId="7" applyFont="1"/>
    <xf numFmtId="44" fontId="17" fillId="0" borderId="218" xfId="2" applyFont="1" applyBorder="1"/>
    <xf numFmtId="0" fontId="17" fillId="0" borderId="173" xfId="0" applyFont="1" applyBorder="1"/>
    <xf numFmtId="44" fontId="17" fillId="0" borderId="75" xfId="2" applyFont="1" applyBorder="1"/>
    <xf numFmtId="44" fontId="42" fillId="0" borderId="0" xfId="2" applyFont="1" applyBorder="1"/>
    <xf numFmtId="43" fontId="42" fillId="0" borderId="0" xfId="0" applyNumberFormat="1" applyFont="1"/>
    <xf numFmtId="9" fontId="42" fillId="0" borderId="0" xfId="0" applyNumberFormat="1" applyFont="1"/>
    <xf numFmtId="44" fontId="23" fillId="0" borderId="166" xfId="2" applyFont="1" applyBorder="1"/>
    <xf numFmtId="44" fontId="41" fillId="0" borderId="167" xfId="2" applyFont="1" applyBorder="1"/>
    <xf numFmtId="164" fontId="41" fillId="0" borderId="167" xfId="7" applyFont="1" applyBorder="1"/>
    <xf numFmtId="0" fontId="23" fillId="0" borderId="219" xfId="0" applyFont="1" applyBorder="1" applyAlignment="1">
      <alignment wrapText="1"/>
    </xf>
    <xf numFmtId="44" fontId="23" fillId="0" borderId="75" xfId="2" applyFont="1" applyBorder="1"/>
    <xf numFmtId="44" fontId="41" fillId="0" borderId="0" xfId="2" applyFont="1"/>
    <xf numFmtId="164" fontId="41" fillId="0" borderId="0" xfId="7" applyFont="1"/>
    <xf numFmtId="0" fontId="23" fillId="0" borderId="6" xfId="0" applyFont="1" applyBorder="1" applyAlignment="1">
      <alignment wrapText="1"/>
    </xf>
    <xf numFmtId="44" fontId="17" fillId="0" borderId="218" xfId="2" applyFont="1" applyBorder="1" applyAlignment="1">
      <alignment vertical="center"/>
    </xf>
    <xf numFmtId="0" fontId="17" fillId="0" borderId="173" xfId="0" applyFont="1" applyBorder="1" applyAlignment="1">
      <alignment vertical="center"/>
    </xf>
    <xf numFmtId="0" fontId="17" fillId="0" borderId="120" xfId="0" applyFont="1" applyBorder="1" applyAlignment="1">
      <alignment vertical="center" wrapText="1"/>
    </xf>
    <xf numFmtId="44" fontId="17" fillId="0" borderId="166" xfId="2" applyFont="1" applyBorder="1"/>
    <xf numFmtId="44" fontId="40" fillId="0" borderId="0" xfId="2" applyFont="1" applyBorder="1"/>
    <xf numFmtId="44" fontId="17" fillId="0" borderId="173" xfId="0" applyNumberFormat="1" applyFont="1" applyBorder="1"/>
    <xf numFmtId="164" fontId="17" fillId="0" borderId="173" xfId="7" applyFont="1" applyBorder="1"/>
    <xf numFmtId="44" fontId="40" fillId="0" borderId="0" xfId="0" applyNumberFormat="1" applyFont="1"/>
    <xf numFmtId="2" fontId="0" fillId="0" borderId="0" xfId="0" applyNumberFormat="1"/>
    <xf numFmtId="0" fontId="3" fillId="0" borderId="81" xfId="0" applyFont="1" applyBorder="1"/>
    <xf numFmtId="0" fontId="3" fillId="0" borderId="195" xfId="0" applyFont="1" applyBorder="1"/>
    <xf numFmtId="0" fontId="0" fillId="0" borderId="160" xfId="0" applyBorder="1"/>
    <xf numFmtId="0" fontId="0" fillId="0" borderId="190" xfId="0" applyBorder="1" applyAlignment="1">
      <alignment vertical="center" wrapText="1"/>
    </xf>
    <xf numFmtId="3" fontId="3" fillId="0" borderId="99" xfId="0" applyNumberFormat="1" applyFont="1" applyBorder="1" applyAlignment="1">
      <alignment horizontal="center" vertical="center"/>
    </xf>
    <xf numFmtId="0" fontId="0" fillId="15" borderId="183" xfId="0" applyFill="1" applyBorder="1" applyAlignment="1">
      <alignment vertical="center" wrapText="1"/>
    </xf>
    <xf numFmtId="0" fontId="3" fillId="0" borderId="99" xfId="0" applyFont="1" applyBorder="1" applyAlignment="1">
      <alignment horizontal="center" vertical="center"/>
    </xf>
    <xf numFmtId="0" fontId="0" fillId="15" borderId="183" xfId="0" applyFill="1" applyBorder="1"/>
    <xf numFmtId="44" fontId="3" fillId="15" borderId="76" xfId="2" applyFont="1" applyFill="1" applyBorder="1"/>
    <xf numFmtId="0" fontId="3" fillId="0" borderId="220" xfId="0" applyFont="1" applyBorder="1"/>
    <xf numFmtId="0" fontId="3" fillId="15" borderId="139" xfId="0" applyFont="1" applyFill="1" applyBorder="1"/>
    <xf numFmtId="44" fontId="0" fillId="16" borderId="166" xfId="2" applyFont="1" applyFill="1" applyBorder="1"/>
    <xf numFmtId="44" fontId="40" fillId="0" borderId="167" xfId="0" applyNumberFormat="1" applyFont="1" applyBorder="1"/>
    <xf numFmtId="0" fontId="0" fillId="0" borderId="219" xfId="0" applyBorder="1"/>
    <xf numFmtId="44" fontId="0" fillId="16" borderId="75" xfId="2" applyFont="1" applyFill="1" applyBorder="1"/>
    <xf numFmtId="10" fontId="40" fillId="17" borderId="0" xfId="0" applyNumberFormat="1" applyFont="1" applyFill="1"/>
    <xf numFmtId="44" fontId="0" fillId="16" borderId="5" xfId="2" applyFont="1" applyFill="1" applyBorder="1"/>
    <xf numFmtId="44" fontId="40" fillId="5" borderId="4" xfId="0" applyNumberFormat="1" applyFont="1" applyFill="1" applyBorder="1"/>
    <xf numFmtId="0" fontId="40" fillId="5" borderId="4" xfId="0" applyFont="1" applyFill="1" applyBorder="1"/>
    <xf numFmtId="0" fontId="3" fillId="0" borderId="81" xfId="0" applyFont="1" applyBorder="1" applyAlignment="1">
      <alignment vertical="center" wrapText="1"/>
    </xf>
    <xf numFmtId="0" fontId="3" fillId="0" borderId="195" xfId="0" applyFont="1" applyBorder="1" applyAlignment="1">
      <alignment vertical="center"/>
    </xf>
    <xf numFmtId="0" fontId="3" fillId="0" borderId="196" xfId="0" applyFont="1" applyBorder="1" applyAlignment="1">
      <alignment vertical="center"/>
    </xf>
    <xf numFmtId="0" fontId="3" fillId="0" borderId="196" xfId="0" applyFont="1" applyBorder="1" applyAlignment="1">
      <alignment horizontal="center" vertical="center"/>
    </xf>
    <xf numFmtId="44" fontId="3" fillId="0" borderId="76" xfId="2" applyFont="1" applyBorder="1"/>
    <xf numFmtId="0" fontId="3" fillId="0" borderId="157" xfId="0" applyFont="1" applyBorder="1"/>
    <xf numFmtId="0" fontId="3" fillId="0" borderId="139" xfId="0" applyFont="1" applyBorder="1" applyAlignment="1">
      <alignment horizontal="left"/>
    </xf>
    <xf numFmtId="44" fontId="17" fillId="10" borderId="97" xfId="2" applyFont="1" applyFill="1" applyBorder="1"/>
    <xf numFmtId="44" fontId="42" fillId="0" borderId="171" xfId="0" applyNumberFormat="1" applyFont="1" applyBorder="1"/>
    <xf numFmtId="43" fontId="42" fillId="0" borderId="171" xfId="0" applyNumberFormat="1" applyFont="1" applyBorder="1"/>
    <xf numFmtId="0" fontId="17" fillId="0" borderId="98" xfId="0" applyFont="1" applyBorder="1" applyAlignment="1">
      <alignment horizontal="left"/>
    </xf>
    <xf numFmtId="44" fontId="0" fillId="0" borderId="221" xfId="2" applyFont="1" applyBorder="1"/>
    <xf numFmtId="0" fontId="23" fillId="0" borderId="168" xfId="0" applyFont="1" applyBorder="1" applyAlignment="1">
      <alignment horizontal="left" vertical="center"/>
    </xf>
    <xf numFmtId="44" fontId="0" fillId="0" borderId="222" xfId="2" applyFont="1" applyBorder="1"/>
    <xf numFmtId="0" fontId="23" fillId="0" borderId="223" xfId="0" applyFont="1" applyBorder="1" applyAlignment="1">
      <alignment horizontal="left" vertical="center"/>
    </xf>
    <xf numFmtId="44" fontId="0" fillId="0" borderId="172" xfId="2" applyFont="1" applyBorder="1"/>
    <xf numFmtId="44" fontId="40" fillId="0" borderId="173" xfId="2" applyFont="1" applyBorder="1"/>
    <xf numFmtId="164" fontId="40" fillId="0" borderId="173" xfId="7" applyFont="1" applyBorder="1"/>
    <xf numFmtId="0" fontId="23" fillId="0" borderId="174" xfId="0" applyFont="1" applyBorder="1" applyAlignment="1">
      <alignment horizontal="left" vertical="center"/>
    </xf>
    <xf numFmtId="44" fontId="17" fillId="10" borderId="5" xfId="2" applyFont="1" applyFill="1" applyBorder="1"/>
    <xf numFmtId="0" fontId="17" fillId="0" borderId="4" xfId="0" applyFont="1" applyBorder="1"/>
    <xf numFmtId="0" fontId="17" fillId="0" borderId="3" xfId="0" applyFont="1" applyBorder="1" applyAlignment="1">
      <alignment horizontal="left" vertical="center"/>
    </xf>
    <xf numFmtId="44" fontId="3" fillId="0" borderId="162" xfId="0" applyNumberFormat="1" applyFont="1" applyBorder="1" applyAlignment="1">
      <alignment vertical="center"/>
    </xf>
    <xf numFmtId="0" fontId="3" fillId="0" borderId="171" xfId="0" applyFont="1" applyBorder="1" applyAlignment="1">
      <alignment vertical="center"/>
    </xf>
    <xf numFmtId="0" fontId="3" fillId="0" borderId="98" xfId="0" applyFont="1" applyBorder="1" applyAlignment="1">
      <alignment vertical="center"/>
    </xf>
    <xf numFmtId="0" fontId="3" fillId="0" borderId="85" xfId="0" applyFont="1" applyBorder="1" applyAlignment="1">
      <alignment vertical="center" wrapText="1"/>
    </xf>
    <xf numFmtId="44" fontId="0" fillId="0" borderId="224" xfId="0" applyNumberFormat="1" applyBorder="1" applyAlignment="1">
      <alignment vertical="center"/>
    </xf>
    <xf numFmtId="44" fontId="0" fillId="0" borderId="105" xfId="0" applyNumberFormat="1" applyBorder="1" applyAlignment="1">
      <alignment vertical="center"/>
    </xf>
    <xf numFmtId="0" fontId="0" fillId="0" borderId="225" xfId="0" applyBorder="1" applyAlignment="1">
      <alignment vertical="center"/>
    </xf>
    <xf numFmtId="0" fontId="0" fillId="0" borderId="183" xfId="0" applyBorder="1" applyAlignment="1">
      <alignment vertical="center" wrapText="1"/>
    </xf>
    <xf numFmtId="44" fontId="0" fillId="0" borderId="213" xfId="0" applyNumberFormat="1" applyBorder="1" applyAlignment="1">
      <alignment vertical="center"/>
    </xf>
    <xf numFmtId="0" fontId="0" fillId="0" borderId="91" xfId="0" applyBorder="1" applyAlignment="1">
      <alignment vertical="center"/>
    </xf>
    <xf numFmtId="0" fontId="0" fillId="0" borderId="214" xfId="0" applyBorder="1" applyAlignment="1">
      <alignment vertical="center"/>
    </xf>
    <xf numFmtId="0" fontId="0" fillId="0" borderId="84" xfId="0" applyBorder="1"/>
    <xf numFmtId="44" fontId="0" fillId="0" borderId="215" xfId="0" applyNumberFormat="1" applyBorder="1"/>
    <xf numFmtId="0" fontId="0" fillId="0" borderId="126" xfId="0" applyBorder="1"/>
    <xf numFmtId="0" fontId="0" fillId="0" borderId="216" xfId="0" applyBorder="1" applyAlignment="1">
      <alignment vertical="center"/>
    </xf>
    <xf numFmtId="0" fontId="3" fillId="0" borderId="226" xfId="0" applyFont="1" applyBorder="1"/>
    <xf numFmtId="0" fontId="3" fillId="0" borderId="227" xfId="0" applyFont="1" applyBorder="1"/>
    <xf numFmtId="0" fontId="3" fillId="0" borderId="119" xfId="0" applyFont="1" applyBorder="1"/>
    <xf numFmtId="176" fontId="65" fillId="0" borderId="162" xfId="0" applyNumberFormat="1" applyFont="1" applyBorder="1" applyAlignment="1">
      <alignment vertical="center"/>
    </xf>
    <xf numFmtId="10" fontId="3" fillId="0" borderId="163" xfId="3" applyNumberFormat="1" applyFont="1" applyBorder="1" applyAlignment="1">
      <alignment horizontal="center" vertical="center"/>
    </xf>
    <xf numFmtId="44" fontId="3" fillId="0" borderId="163" xfId="0" applyNumberFormat="1" applyFont="1" applyBorder="1" applyAlignment="1">
      <alignment horizontal="center" vertical="center"/>
    </xf>
    <xf numFmtId="0" fontId="3" fillId="0" borderId="164" xfId="0" applyFont="1" applyBorder="1" applyAlignment="1">
      <alignment wrapText="1"/>
    </xf>
    <xf numFmtId="176" fontId="17" fillId="0" borderId="213" xfId="0" applyNumberFormat="1" applyFont="1" applyBorder="1"/>
    <xf numFmtId="9" fontId="0" fillId="0" borderId="203" xfId="7" applyNumberFormat="1" applyFont="1" applyBorder="1" applyAlignment="1">
      <alignment horizontal="center" vertical="center"/>
    </xf>
    <xf numFmtId="176" fontId="0" fillId="0" borderId="203" xfId="0" applyNumberFormat="1" applyBorder="1" applyAlignment="1">
      <alignment horizontal="right"/>
    </xf>
    <xf numFmtId="9" fontId="0" fillId="17" borderId="91" xfId="7" applyNumberFormat="1" applyFont="1" applyFill="1" applyBorder="1" applyAlignment="1">
      <alignment horizontal="center" vertical="center"/>
    </xf>
    <xf numFmtId="176" fontId="0" fillId="0" borderId="91" xfId="0" applyNumberFormat="1" applyBorder="1" applyAlignment="1">
      <alignment horizontal="right" vertical="center"/>
    </xf>
    <xf numFmtId="0" fontId="17" fillId="0" borderId="214" xfId="0" applyFont="1" applyBorder="1"/>
    <xf numFmtId="176" fontId="17" fillId="0" borderId="215" xfId="0" applyNumberFormat="1" applyFont="1" applyBorder="1"/>
    <xf numFmtId="9" fontId="0" fillId="0" borderId="126" xfId="3" applyFont="1" applyBorder="1" applyAlignment="1">
      <alignment horizontal="center" vertical="center"/>
    </xf>
    <xf numFmtId="44" fontId="0" fillId="0" borderId="126" xfId="0" applyNumberFormat="1" applyBorder="1" applyAlignment="1">
      <alignment horizontal="center" vertical="center"/>
    </xf>
    <xf numFmtId="0" fontId="17" fillId="0" borderId="216" xfId="0" applyFont="1" applyBorder="1"/>
    <xf numFmtId="9" fontId="3" fillId="0" borderId="162" xfId="0" applyNumberFormat="1" applyFont="1" applyBorder="1" applyAlignment="1">
      <alignment horizontal="center" vertical="center"/>
    </xf>
    <xf numFmtId="0" fontId="0" fillId="0" borderId="163" xfId="0" applyBorder="1" applyAlignment="1">
      <alignment horizontal="center" vertical="center" wrapText="1"/>
    </xf>
    <xf numFmtId="9" fontId="0" fillId="0" borderId="164" xfId="0" applyNumberFormat="1" applyBorder="1" applyAlignment="1">
      <alignment horizontal="center" vertical="center"/>
    </xf>
    <xf numFmtId="176" fontId="65" fillId="0" borderId="228" xfId="0" applyNumberFormat="1" applyFont="1" applyBorder="1" applyAlignment="1">
      <alignment vertical="center"/>
    </xf>
    <xf numFmtId="2" fontId="3" fillId="0" borderId="229" xfId="0" applyNumberFormat="1" applyFont="1" applyBorder="1" applyAlignment="1">
      <alignment horizontal="center" vertical="center"/>
    </xf>
    <xf numFmtId="0" fontId="3" fillId="0" borderId="230" xfId="0" applyFont="1" applyBorder="1" applyAlignment="1">
      <alignment horizontal="center" vertical="center"/>
    </xf>
    <xf numFmtId="0" fontId="3" fillId="17" borderId="85" xfId="0" applyFont="1" applyFill="1" applyBorder="1" applyAlignment="1">
      <alignment wrapText="1"/>
    </xf>
    <xf numFmtId="176" fontId="65" fillId="0" borderId="0" xfId="0" applyNumberFormat="1" applyFont="1" applyAlignment="1">
      <alignment vertical="center"/>
    </xf>
    <xf numFmtId="2" fontId="3" fillId="0" borderId="0" xfId="0" applyNumberFormat="1" applyFont="1" applyAlignment="1">
      <alignment horizontal="center" vertical="center"/>
    </xf>
    <xf numFmtId="0" fontId="3" fillId="0" borderId="0" xfId="0" applyFont="1" applyAlignment="1">
      <alignment wrapText="1"/>
    </xf>
    <xf numFmtId="176" fontId="65" fillId="0" borderId="226" xfId="0" applyNumberFormat="1" applyFont="1" applyBorder="1" applyAlignment="1">
      <alignment vertical="center"/>
    </xf>
    <xf numFmtId="2" fontId="3" fillId="0" borderId="227" xfId="0" applyNumberFormat="1" applyFont="1" applyBorder="1" applyAlignment="1">
      <alignment horizontal="center" vertical="center"/>
    </xf>
    <xf numFmtId="0" fontId="3" fillId="0" borderId="231" xfId="0" applyFont="1" applyBorder="1" applyAlignment="1">
      <alignment horizontal="center" vertical="center"/>
    </xf>
    <xf numFmtId="2" fontId="3" fillId="0" borderId="163" xfId="0" applyNumberFormat="1" applyFont="1" applyBorder="1" applyAlignment="1">
      <alignment horizontal="center" vertical="center"/>
    </xf>
    <xf numFmtId="164" fontId="0" fillId="0" borderId="203" xfId="7" applyFont="1" applyBorder="1"/>
    <xf numFmtId="164" fontId="0" fillId="0" borderId="91" xfId="7" applyFont="1" applyBorder="1"/>
    <xf numFmtId="164" fontId="0" fillId="0" borderId="126" xfId="7" applyFont="1" applyBorder="1"/>
    <xf numFmtId="0" fontId="0" fillId="0" borderId="163" xfId="0" applyBorder="1" applyAlignment="1">
      <alignment horizontal="center" vertical="center"/>
    </xf>
    <xf numFmtId="0" fontId="0" fillId="0" borderId="164" xfId="0" applyBorder="1" applyAlignment="1">
      <alignment horizontal="center" vertical="center"/>
    </xf>
    <xf numFmtId="164" fontId="3" fillId="0" borderId="210" xfId="7" applyFont="1" applyBorder="1"/>
    <xf numFmtId="10" fontId="0" fillId="0" borderId="203" xfId="0" applyNumberFormat="1" applyBorder="1" applyAlignment="1">
      <alignment horizontal="center" vertical="center"/>
    </xf>
    <xf numFmtId="0" fontId="0" fillId="0" borderId="212" xfId="0" applyBorder="1"/>
    <xf numFmtId="164" fontId="3" fillId="0" borderId="213" xfId="7" applyFont="1" applyBorder="1"/>
    <xf numFmtId="10" fontId="0" fillId="0" borderId="91" xfId="0" applyNumberFormat="1" applyBorder="1" applyAlignment="1">
      <alignment horizontal="center" vertical="center"/>
    </xf>
    <xf numFmtId="164" fontId="3" fillId="0" borderId="215" xfId="7" applyFont="1" applyBorder="1"/>
    <xf numFmtId="10" fontId="0" fillId="0" borderId="126" xfId="0" applyNumberFormat="1" applyBorder="1" applyAlignment="1">
      <alignment horizontal="center" vertical="center"/>
    </xf>
    <xf numFmtId="44" fontId="3" fillId="0" borderId="210" xfId="0" applyNumberFormat="1" applyFont="1" applyBorder="1"/>
    <xf numFmtId="10" fontId="0" fillId="0" borderId="203" xfId="0" applyNumberFormat="1" applyBorder="1"/>
    <xf numFmtId="44" fontId="0" fillId="0" borderId="203" xfId="0" applyNumberFormat="1" applyBorder="1" applyAlignment="1">
      <alignment horizontal="center" vertical="center"/>
    </xf>
    <xf numFmtId="44" fontId="3" fillId="0" borderId="213" xfId="0" applyNumberFormat="1" applyFont="1" applyBorder="1"/>
    <xf numFmtId="10" fontId="0" fillId="0" borderId="91" xfId="0" applyNumberFormat="1" applyBorder="1"/>
    <xf numFmtId="44" fontId="0" fillId="0" borderId="91" xfId="0" applyNumberFormat="1" applyBorder="1" applyAlignment="1">
      <alignment horizontal="center" vertical="center"/>
    </xf>
    <xf numFmtId="44" fontId="3" fillId="0" borderId="215" xfId="0" applyNumberFormat="1" applyFont="1" applyBorder="1"/>
    <xf numFmtId="10" fontId="0" fillId="0" borderId="126" xfId="0" applyNumberFormat="1" applyBorder="1"/>
    <xf numFmtId="44" fontId="0" fillId="0" borderId="97" xfId="0" applyNumberFormat="1" applyBorder="1"/>
    <xf numFmtId="0" fontId="0" fillId="0" borderId="171" xfId="0" applyBorder="1" applyAlignment="1">
      <alignment horizontal="center" vertical="center"/>
    </xf>
    <xf numFmtId="0" fontId="0" fillId="0" borderId="98" xfId="0" applyBorder="1"/>
    <xf numFmtId="44" fontId="0" fillId="0" borderId="222" xfId="0" applyNumberFormat="1" applyBorder="1"/>
    <xf numFmtId="0" fontId="0" fillId="0" borderId="223" xfId="0" applyBorder="1"/>
    <xf numFmtId="164" fontId="0" fillId="18" borderId="222" xfId="7" applyFont="1" applyFill="1" applyBorder="1"/>
    <xf numFmtId="0" fontId="0" fillId="0" borderId="97" xfId="0" applyBorder="1"/>
    <xf numFmtId="44" fontId="0" fillId="0" borderId="76" xfId="0" applyNumberFormat="1" applyBorder="1"/>
    <xf numFmtId="0" fontId="0" fillId="0" borderId="139" xfId="0" applyBorder="1" applyAlignment="1">
      <alignment horizontal="right"/>
    </xf>
    <xf numFmtId="0" fontId="0" fillId="0" borderId="6" xfId="0" applyBorder="1" applyAlignment="1">
      <alignment horizontal="right"/>
    </xf>
    <xf numFmtId="44" fontId="0" fillId="0" borderId="232" xfId="0" applyNumberFormat="1" applyBorder="1"/>
    <xf numFmtId="0" fontId="0" fillId="0" borderId="233" xfId="0" applyBorder="1"/>
    <xf numFmtId="44" fontId="0" fillId="0" borderId="158" xfId="0" applyNumberFormat="1" applyBorder="1"/>
    <xf numFmtId="0" fontId="0" fillId="0" borderId="159" xfId="0" applyBorder="1"/>
    <xf numFmtId="164" fontId="0" fillId="0" borderId="81" xfId="7" applyFont="1" applyBorder="1"/>
    <xf numFmtId="0" fontId="0" fillId="0" borderId="196" xfId="0" applyBorder="1"/>
    <xf numFmtId="8" fontId="0" fillId="0" borderId="81" xfId="0" applyNumberFormat="1" applyBorder="1"/>
    <xf numFmtId="44" fontId="0" fillId="3" borderId="110" xfId="0" applyNumberFormat="1" applyFill="1" applyBorder="1"/>
    <xf numFmtId="44" fontId="0" fillId="3" borderId="180" xfId="0" applyNumberFormat="1" applyFill="1" applyBorder="1"/>
    <xf numFmtId="44" fontId="39" fillId="3" borderId="111" xfId="0" applyNumberFormat="1" applyFont="1" applyFill="1" applyBorder="1"/>
    <xf numFmtId="170" fontId="0" fillId="0" borderId="81" xfId="0" applyNumberFormat="1" applyBorder="1"/>
    <xf numFmtId="44" fontId="0" fillId="4" borderId="172" xfId="0" applyNumberFormat="1" applyFill="1" applyBorder="1"/>
    <xf numFmtId="44" fontId="0" fillId="4" borderId="173" xfId="0" applyNumberFormat="1" applyFill="1" applyBorder="1"/>
    <xf numFmtId="44" fontId="0" fillId="4" borderId="174" xfId="0" applyNumberFormat="1" applyFill="1" applyBorder="1"/>
    <xf numFmtId="44" fontId="0" fillId="19" borderId="97" xfId="0" applyNumberFormat="1" applyFill="1" applyBorder="1"/>
    <xf numFmtId="44" fontId="0" fillId="19" borderId="171" xfId="0" applyNumberFormat="1" applyFill="1" applyBorder="1"/>
    <xf numFmtId="44" fontId="0" fillId="19" borderId="85" xfId="0" applyNumberFormat="1" applyFill="1" applyBorder="1"/>
    <xf numFmtId="0" fontId="0" fillId="0" borderId="80" xfId="0" applyBorder="1"/>
    <xf numFmtId="44" fontId="0" fillId="0" borderId="81" xfId="2" applyFont="1" applyBorder="1" applyAlignment="1">
      <alignment vertical="center"/>
    </xf>
    <xf numFmtId="44" fontId="0" fillId="0" borderId="195" xfId="2" applyFont="1" applyBorder="1" applyAlignment="1">
      <alignment vertical="center"/>
    </xf>
    <xf numFmtId="0" fontId="17" fillId="0" borderId="196" xfId="0" applyFont="1" applyBorder="1"/>
    <xf numFmtId="44" fontId="0" fillId="0" borderId="157" xfId="0" applyNumberFormat="1" applyBorder="1"/>
    <xf numFmtId="44" fontId="3" fillId="0" borderId="165" xfId="0" applyNumberFormat="1" applyFont="1" applyBorder="1" applyAlignment="1">
      <alignment vertical="center"/>
    </xf>
    <xf numFmtId="44" fontId="3" fillId="0" borderId="76" xfId="0" applyNumberFormat="1" applyFont="1" applyBorder="1" applyAlignment="1">
      <alignment vertical="center"/>
    </xf>
    <xf numFmtId="44" fontId="3" fillId="0" borderId="157" xfId="0" applyNumberFormat="1" applyFont="1" applyBorder="1" applyAlignment="1">
      <alignment vertical="center"/>
    </xf>
    <xf numFmtId="0" fontId="3" fillId="0" borderId="139" xfId="0" applyFont="1" applyBorder="1" applyAlignment="1">
      <alignment vertical="center" wrapText="1"/>
    </xf>
    <xf numFmtId="44" fontId="3" fillId="20" borderId="234" xfId="2" applyFont="1" applyFill="1" applyBorder="1" applyAlignment="1">
      <alignment vertical="center" wrapText="1"/>
    </xf>
    <xf numFmtId="44" fontId="0" fillId="20" borderId="234" xfId="0" applyNumberFormat="1" applyFill="1" applyBorder="1" applyAlignment="1">
      <alignment vertical="center" wrapText="1"/>
    </xf>
    <xf numFmtId="44" fontId="0" fillId="20" borderId="235" xfId="0" applyNumberFormat="1" applyFill="1" applyBorder="1" applyAlignment="1">
      <alignment vertical="center" wrapText="1"/>
    </xf>
    <xf numFmtId="44" fontId="0" fillId="20" borderId="236" xfId="0" applyNumberFormat="1" applyFill="1" applyBorder="1" applyAlignment="1">
      <alignment vertical="center" wrapText="1"/>
    </xf>
    <xf numFmtId="0" fontId="3" fillId="20" borderId="184" xfId="0" applyFont="1" applyFill="1" applyBorder="1" applyAlignment="1">
      <alignment horizontal="center" vertical="center" wrapText="1"/>
    </xf>
    <xf numFmtId="44" fontId="0" fillId="0" borderId="237" xfId="2" applyFont="1" applyBorder="1" applyAlignment="1">
      <alignment vertical="center" wrapText="1"/>
    </xf>
    <xf numFmtId="44" fontId="0" fillId="0" borderId="0" xfId="0" applyNumberFormat="1" applyAlignment="1">
      <alignment vertical="center" wrapText="1"/>
    </xf>
    <xf numFmtId="0" fontId="0" fillId="21" borderId="186" xfId="0" applyFill="1" applyBorder="1" applyAlignment="1">
      <alignment vertical="center" wrapText="1"/>
    </xf>
    <xf numFmtId="44" fontId="0" fillId="0" borderId="186" xfId="2" applyFont="1" applyBorder="1" applyAlignment="1">
      <alignment vertical="center" wrapText="1"/>
    </xf>
    <xf numFmtId="44" fontId="0" fillId="0" borderId="0" xfId="2" applyFont="1" applyBorder="1" applyAlignment="1">
      <alignment vertical="center" wrapText="1"/>
    </xf>
    <xf numFmtId="0" fontId="0" fillId="21" borderId="186" xfId="0" applyFill="1" applyBorder="1"/>
    <xf numFmtId="0" fontId="0" fillId="21" borderId="186" xfId="0" applyFill="1" applyBorder="1" applyAlignment="1">
      <alignment horizontal="left" vertical="center" wrapText="1"/>
    </xf>
    <xf numFmtId="44" fontId="0" fillId="0" borderId="238" xfId="2" applyFont="1" applyBorder="1" applyAlignment="1">
      <alignment vertical="center" wrapText="1"/>
    </xf>
    <xf numFmtId="0" fontId="3" fillId="20" borderId="239" xfId="0" applyFont="1" applyFill="1" applyBorder="1" applyAlignment="1">
      <alignment horizontal="center" vertical="center" wrapText="1"/>
    </xf>
    <xf numFmtId="44" fontId="3" fillId="22" borderId="240" xfId="2" applyFont="1" applyFill="1" applyBorder="1" applyAlignment="1">
      <alignment vertical="center" wrapText="1"/>
    </xf>
    <xf numFmtId="44" fontId="0" fillId="22" borderId="171" xfId="0" applyNumberFormat="1" applyFill="1" applyBorder="1" applyAlignment="1">
      <alignment vertical="center" wrapText="1"/>
    </xf>
    <xf numFmtId="0" fontId="3" fillId="22" borderId="239" xfId="0" applyFont="1" applyFill="1" applyBorder="1" applyAlignment="1">
      <alignment vertical="center" wrapText="1"/>
    </xf>
    <xf numFmtId="44" fontId="0" fillId="0" borderId="186" xfId="2" applyFont="1" applyBorder="1" applyAlignment="1">
      <alignment vertical="center"/>
    </xf>
    <xf numFmtId="0" fontId="0" fillId="23" borderId="241" xfId="0" applyFill="1" applyBorder="1" applyAlignment="1">
      <alignment vertical="center" wrapText="1"/>
    </xf>
    <xf numFmtId="44" fontId="0" fillId="0" borderId="186" xfId="2" applyFont="1" applyBorder="1" applyAlignment="1">
      <alignment horizontal="center" vertical="center"/>
    </xf>
    <xf numFmtId="0" fontId="0" fillId="23" borderId="71" xfId="0" applyFill="1" applyBorder="1" applyAlignment="1">
      <alignment vertical="center" wrapText="1"/>
    </xf>
    <xf numFmtId="0" fontId="3" fillId="22" borderId="239" xfId="0" applyFont="1" applyFill="1" applyBorder="1" applyAlignment="1">
      <alignment horizontal="center"/>
    </xf>
    <xf numFmtId="44" fontId="3" fillId="11" borderId="240" xfId="2" applyFont="1" applyFill="1" applyBorder="1" applyAlignment="1">
      <alignment vertical="center" wrapText="1"/>
    </xf>
    <xf numFmtId="44" fontId="0" fillId="11" borderId="171" xfId="0" applyNumberFormat="1" applyFill="1" applyBorder="1" applyAlignment="1">
      <alignment vertical="center" wrapText="1"/>
    </xf>
    <xf numFmtId="0" fontId="3" fillId="11" borderId="242" xfId="0" applyFont="1" applyFill="1" applyBorder="1" applyAlignment="1">
      <alignment vertical="center" wrapText="1"/>
    </xf>
    <xf numFmtId="44" fontId="0" fillId="0" borderId="237" xfId="2" applyFont="1" applyBorder="1" applyAlignment="1">
      <alignment vertical="center"/>
    </xf>
    <xf numFmtId="44" fontId="0" fillId="0" borderId="0" xfId="2" applyFont="1" applyBorder="1" applyAlignment="1">
      <alignment vertical="center"/>
    </xf>
    <xf numFmtId="44" fontId="0" fillId="0" borderId="0" xfId="2" applyFont="1" applyAlignment="1">
      <alignment vertical="center"/>
    </xf>
    <xf numFmtId="0" fontId="0" fillId="24" borderId="165" xfId="0" applyFill="1" applyBorder="1" applyAlignment="1">
      <alignment vertical="center" wrapText="1"/>
    </xf>
    <xf numFmtId="0" fontId="0" fillId="24" borderId="186" xfId="0" applyFill="1" applyBorder="1"/>
    <xf numFmtId="0" fontId="0" fillId="24" borderId="186" xfId="0" applyFill="1" applyBorder="1" applyAlignment="1">
      <alignment vertical="center" wrapText="1"/>
    </xf>
    <xf numFmtId="0" fontId="17" fillId="24" borderId="186" xfId="0" applyFont="1" applyFill="1" applyBorder="1"/>
    <xf numFmtId="0" fontId="0" fillId="14" borderId="186" xfId="0" applyFill="1" applyBorder="1"/>
    <xf numFmtId="0" fontId="0" fillId="0" borderId="7" xfId="0" applyBorder="1"/>
    <xf numFmtId="0" fontId="3" fillId="11" borderId="242" xfId="0" applyFont="1" applyFill="1" applyBorder="1" applyAlignment="1">
      <alignment horizontal="center"/>
    </xf>
    <xf numFmtId="0" fontId="3" fillId="0" borderId="165" xfId="0" applyFont="1" applyBorder="1"/>
    <xf numFmtId="0" fontId="3" fillId="0" borderId="76" xfId="0" applyFont="1" applyBorder="1" applyAlignment="1">
      <alignment horizontal="center"/>
    </xf>
    <xf numFmtId="0" fontId="3" fillId="0" borderId="157" xfId="0" applyFont="1" applyBorder="1" applyAlignment="1">
      <alignment horizontal="center"/>
    </xf>
    <xf numFmtId="0" fontId="0" fillId="0" borderId="157" xfId="0" applyBorder="1"/>
    <xf numFmtId="0" fontId="0" fillId="0" borderId="6" xfId="0" applyBorder="1" applyAlignment="1">
      <alignment horizontal="center"/>
    </xf>
    <xf numFmtId="0" fontId="0" fillId="0" borderId="7" xfId="0" applyBorder="1" applyAlignment="1">
      <alignment horizontal="center" vertical="center"/>
    </xf>
    <xf numFmtId="44" fontId="0" fillId="0" borderId="243" xfId="0" applyNumberFormat="1" applyBorder="1"/>
    <xf numFmtId="44" fontId="3" fillId="0" borderId="165" xfId="0" applyNumberFormat="1" applyFont="1" applyBorder="1"/>
    <xf numFmtId="44" fontId="65" fillId="0" borderId="239" xfId="0" applyNumberFormat="1" applyFont="1" applyBorder="1"/>
    <xf numFmtId="44" fontId="3" fillId="0" borderId="98" xfId="0" applyNumberFormat="1" applyFont="1" applyBorder="1"/>
    <xf numFmtId="44" fontId="3" fillId="0" borderId="244" xfId="0" applyNumberFormat="1" applyFont="1" applyBorder="1"/>
    <xf numFmtId="0" fontId="0" fillId="0" borderId="186" xfId="0" applyBorder="1"/>
    <xf numFmtId="44" fontId="65" fillId="0" borderId="239" xfId="2" applyFont="1" applyBorder="1" applyAlignment="1">
      <alignment vertical="center"/>
    </xf>
    <xf numFmtId="44" fontId="3" fillId="0" borderId="180" xfId="2" applyFont="1" applyBorder="1" applyAlignment="1">
      <alignment vertical="center"/>
    </xf>
    <xf numFmtId="44" fontId="3" fillId="0" borderId="111" xfId="2" applyFont="1" applyBorder="1" applyAlignment="1">
      <alignment vertical="center"/>
    </xf>
    <xf numFmtId="44" fontId="3" fillId="0" borderId="245" xfId="2" applyFont="1" applyBorder="1" applyAlignment="1">
      <alignment vertical="center"/>
    </xf>
    <xf numFmtId="44" fontId="0" fillId="0" borderId="83" xfId="2" applyFont="1" applyBorder="1" applyAlignment="1">
      <alignment vertical="center"/>
    </xf>
    <xf numFmtId="44" fontId="0" fillId="0" borderId="246" xfId="2" applyFont="1" applyBorder="1" applyAlignment="1">
      <alignment vertical="center"/>
    </xf>
    <xf numFmtId="44" fontId="0" fillId="0" borderId="247" xfId="2" applyFont="1" applyBorder="1" applyAlignment="1">
      <alignment vertical="center"/>
    </xf>
    <xf numFmtId="44" fontId="65" fillId="0" borderId="239" xfId="2" applyFont="1" applyBorder="1"/>
    <xf numFmtId="44" fontId="3" fillId="0" borderId="83" xfId="2" applyFont="1" applyBorder="1" applyAlignment="1">
      <alignment vertical="center"/>
    </xf>
    <xf numFmtId="44" fontId="3" fillId="0" borderId="246" xfId="2" applyFont="1" applyBorder="1" applyAlignment="1">
      <alignment vertical="center"/>
    </xf>
    <xf numFmtId="44" fontId="3" fillId="0" borderId="247" xfId="2" applyFont="1" applyBorder="1"/>
    <xf numFmtId="0" fontId="3" fillId="0" borderId="223" xfId="0" applyFont="1" applyBorder="1"/>
    <xf numFmtId="44" fontId="0" fillId="0" borderId="83" xfId="0" applyNumberFormat="1" applyBorder="1"/>
    <xf numFmtId="44" fontId="0" fillId="0" borderId="246" xfId="0" applyNumberFormat="1" applyBorder="1"/>
    <xf numFmtId="44" fontId="0" fillId="0" borderId="247" xfId="2" applyFont="1" applyBorder="1"/>
    <xf numFmtId="0" fontId="0" fillId="0" borderId="246" xfId="0" applyBorder="1"/>
    <xf numFmtId="44" fontId="0" fillId="0" borderId="7" xfId="2" applyFont="1" applyBorder="1"/>
    <xf numFmtId="44" fontId="0" fillId="0" borderId="113" xfId="0" applyNumberFormat="1" applyBorder="1"/>
    <xf numFmtId="44" fontId="0" fillId="0" borderId="248" xfId="2" applyFont="1" applyBorder="1"/>
    <xf numFmtId="0" fontId="3" fillId="0" borderId="166" xfId="0" applyFont="1" applyBorder="1" applyAlignment="1">
      <alignment vertical="center"/>
    </xf>
    <xf numFmtId="0" fontId="0" fillId="0" borderId="249" xfId="0" applyBorder="1"/>
    <xf numFmtId="0" fontId="0" fillId="0" borderId="5" xfId="0" applyBorder="1" applyAlignment="1">
      <alignment horizontal="center" vertical="center"/>
    </xf>
    <xf numFmtId="0" fontId="0" fillId="0" borderId="250" xfId="0" applyBorder="1" applyAlignment="1">
      <alignment horizontal="center"/>
    </xf>
    <xf numFmtId="0" fontId="25" fillId="0" borderId="85" xfId="0" applyFont="1" applyBorder="1"/>
    <xf numFmtId="0" fontId="3" fillId="0" borderId="91" xfId="0" applyFont="1" applyBorder="1" applyAlignment="1">
      <alignment vertical="center"/>
    </xf>
    <xf numFmtId="0" fontId="3" fillId="0" borderId="82" xfId="0" applyFont="1" applyBorder="1" applyAlignment="1">
      <alignment vertical="center"/>
    </xf>
    <xf numFmtId="0" fontId="0" fillId="0" borderId="105" xfId="0" applyBorder="1"/>
    <xf numFmtId="164" fontId="0" fillId="0" borderId="105" xfId="0" applyNumberFormat="1" applyBorder="1"/>
    <xf numFmtId="166" fontId="0" fillId="0" borderId="105" xfId="7" applyNumberFormat="1" applyFont="1" applyBorder="1"/>
    <xf numFmtId="0" fontId="0" fillId="0" borderId="101" xfId="0" applyBorder="1"/>
    <xf numFmtId="10" fontId="0" fillId="0" borderId="101" xfId="0" applyNumberFormat="1" applyBorder="1"/>
    <xf numFmtId="0" fontId="3" fillId="0" borderId="84" xfId="0" applyFont="1" applyBorder="1" applyAlignment="1">
      <alignment vertical="center" wrapText="1"/>
    </xf>
    <xf numFmtId="164" fontId="3" fillId="0" borderId="91" xfId="0" applyNumberFormat="1" applyFont="1" applyBorder="1" applyAlignment="1">
      <alignment vertical="center"/>
    </xf>
    <xf numFmtId="164" fontId="3" fillId="0" borderId="82" xfId="0" applyNumberFormat="1" applyFont="1" applyBorder="1" applyAlignment="1">
      <alignment vertical="center"/>
    </xf>
    <xf numFmtId="0" fontId="3" fillId="0" borderId="183" xfId="0" applyFont="1" applyBorder="1" applyAlignment="1">
      <alignment vertical="center"/>
    </xf>
    <xf numFmtId="164" fontId="65" fillId="0" borderId="91" xfId="0" applyNumberFormat="1" applyFont="1" applyBorder="1" applyAlignment="1">
      <alignment vertical="center"/>
    </xf>
    <xf numFmtId="0" fontId="0" fillId="0" borderId="91" xfId="0" applyBorder="1" applyAlignment="1">
      <alignment vertical="center" wrapText="1"/>
    </xf>
    <xf numFmtId="166" fontId="0" fillId="0" borderId="91" xfId="7" applyNumberFormat="1" applyFont="1" applyBorder="1" applyAlignment="1">
      <alignment horizontal="right" vertical="center"/>
    </xf>
    <xf numFmtId="0" fontId="3" fillId="0" borderId="91" xfId="0" applyFont="1" applyBorder="1"/>
    <xf numFmtId="0" fontId="3" fillId="0" borderId="204" xfId="0" applyFont="1" applyBorder="1"/>
    <xf numFmtId="10" fontId="3" fillId="0" borderId="91" xfId="3" applyNumberFormat="1" applyFont="1" applyBorder="1"/>
    <xf numFmtId="0" fontId="17" fillId="0" borderId="91" xfId="0" applyFont="1" applyBorder="1" applyAlignment="1">
      <alignment wrapText="1"/>
    </xf>
    <xf numFmtId="164" fontId="65" fillId="25" borderId="91" xfId="0" applyNumberFormat="1" applyFont="1" applyFill="1" applyBorder="1" applyAlignment="1">
      <alignment vertical="center"/>
    </xf>
    <xf numFmtId="0" fontId="3" fillId="0" borderId="97" xfId="0" applyFont="1" applyBorder="1" applyAlignment="1">
      <alignment vertical="center"/>
    </xf>
    <xf numFmtId="0" fontId="23" fillId="0" borderId="98" xfId="0" applyFont="1" applyBorder="1"/>
    <xf numFmtId="164" fontId="0" fillId="0" borderId="164" xfId="0" applyNumberFormat="1" applyBorder="1"/>
    <xf numFmtId="164" fontId="0" fillId="0" borderId="162" xfId="0" applyNumberFormat="1" applyBorder="1"/>
    <xf numFmtId="44" fontId="0" fillId="0" borderId="210" xfId="0" applyNumberFormat="1" applyBorder="1"/>
    <xf numFmtId="44" fontId="0" fillId="0" borderId="180" xfId="2" applyFont="1" applyFill="1" applyBorder="1" applyAlignment="1">
      <alignment vertical="center"/>
    </xf>
    <xf numFmtId="0" fontId="0" fillId="0" borderId="251" xfId="0" applyBorder="1"/>
    <xf numFmtId="44" fontId="0" fillId="0" borderId="189" xfId="2" applyFont="1" applyFill="1" applyBorder="1" applyAlignment="1">
      <alignment vertical="center"/>
    </xf>
    <xf numFmtId="0" fontId="0" fillId="0" borderId="252" xfId="0" applyBorder="1"/>
    <xf numFmtId="44" fontId="0" fillId="0" borderId="210" xfId="2" applyFont="1" applyBorder="1" applyAlignment="1">
      <alignment vertical="center"/>
    </xf>
    <xf numFmtId="164" fontId="0" fillId="0" borderId="203" xfId="0" applyNumberFormat="1" applyBorder="1" applyAlignment="1">
      <alignment vertical="center"/>
    </xf>
    <xf numFmtId="44" fontId="0" fillId="0" borderId="203" xfId="2" applyFont="1" applyBorder="1" applyAlignment="1">
      <alignment vertical="center"/>
    </xf>
    <xf numFmtId="164" fontId="0" fillId="0" borderId="212" xfId="0" applyNumberFormat="1" applyBorder="1" applyAlignment="1">
      <alignment vertical="center"/>
    </xf>
    <xf numFmtId="0" fontId="0" fillId="0" borderId="253" xfId="0" applyBorder="1" applyAlignment="1">
      <alignment wrapText="1"/>
    </xf>
    <xf numFmtId="44" fontId="0" fillId="0" borderId="213" xfId="2" applyFont="1" applyBorder="1" applyAlignment="1">
      <alignment vertical="center"/>
    </xf>
    <xf numFmtId="164" fontId="0" fillId="0" borderId="91" xfId="0" applyNumberFormat="1" applyBorder="1" applyAlignment="1">
      <alignment vertical="center"/>
    </xf>
    <xf numFmtId="44" fontId="0" fillId="0" borderId="91" xfId="0" applyNumberFormat="1" applyBorder="1" applyAlignment="1">
      <alignment vertical="center"/>
    </xf>
    <xf numFmtId="164" fontId="0" fillId="0" borderId="214" xfId="0" applyNumberFormat="1" applyBorder="1" applyAlignment="1">
      <alignment vertical="center"/>
    </xf>
    <xf numFmtId="0" fontId="0" fillId="0" borderId="254" xfId="0" applyBorder="1" applyAlignment="1">
      <alignment wrapText="1"/>
    </xf>
    <xf numFmtId="0" fontId="0" fillId="0" borderId="254" xfId="0" applyBorder="1"/>
    <xf numFmtId="44" fontId="3" fillId="0" borderId="215" xfId="2" applyFont="1" applyBorder="1" applyAlignment="1">
      <alignment vertical="center"/>
    </xf>
    <xf numFmtId="164" fontId="3" fillId="0" borderId="126" xfId="0" applyNumberFormat="1" applyFont="1" applyBorder="1" applyAlignment="1">
      <alignment vertical="center"/>
    </xf>
    <xf numFmtId="44" fontId="3" fillId="0" borderId="126" xfId="0" applyNumberFormat="1" applyFont="1" applyBorder="1" applyAlignment="1">
      <alignment vertical="center"/>
    </xf>
    <xf numFmtId="164" fontId="3" fillId="0" borderId="216" xfId="0" applyNumberFormat="1" applyFont="1" applyBorder="1" applyAlignment="1">
      <alignment vertical="center"/>
    </xf>
    <xf numFmtId="0" fontId="3" fillId="0" borderId="162" xfId="0" applyFont="1" applyBorder="1" applyAlignment="1">
      <alignment vertical="center" wrapText="1"/>
    </xf>
    <xf numFmtId="0" fontId="3" fillId="0" borderId="163" xfId="0" applyFont="1" applyBorder="1" applyAlignment="1">
      <alignment vertical="center" wrapText="1"/>
    </xf>
    <xf numFmtId="0" fontId="3" fillId="0" borderId="163" xfId="0" applyFont="1" applyBorder="1" applyAlignment="1">
      <alignment vertical="center"/>
    </xf>
    <xf numFmtId="10" fontId="3" fillId="0" borderId="162" xfId="0" applyNumberFormat="1" applyFont="1" applyBorder="1"/>
    <xf numFmtId="44" fontId="0" fillId="0" borderId="210" xfId="2" applyFont="1" applyBorder="1"/>
    <xf numFmtId="44" fontId="0" fillId="0" borderId="213" xfId="2" applyFont="1" applyBorder="1"/>
    <xf numFmtId="0" fontId="0" fillId="0" borderId="82" xfId="0" applyBorder="1"/>
    <xf numFmtId="0" fontId="0" fillId="0" borderId="83" xfId="0" applyBorder="1"/>
    <xf numFmtId="0" fontId="66" fillId="0" borderId="84" xfId="0" applyFont="1" applyBorder="1"/>
    <xf numFmtId="0" fontId="0" fillId="0" borderId="215" xfId="0" applyBorder="1"/>
    <xf numFmtId="2" fontId="0" fillId="0" borderId="81" xfId="0" applyNumberFormat="1" applyBorder="1"/>
    <xf numFmtId="170" fontId="17" fillId="0" borderId="179" xfId="0" applyNumberFormat="1" applyFont="1" applyBorder="1"/>
    <xf numFmtId="0" fontId="17" fillId="0" borderId="255" xfId="0" applyFont="1" applyBorder="1"/>
    <xf numFmtId="170" fontId="3" fillId="0" borderId="256" xfId="0" applyNumberFormat="1" applyFont="1" applyBorder="1"/>
    <xf numFmtId="0" fontId="3" fillId="0" borderId="257" xfId="0" applyFont="1" applyBorder="1"/>
    <xf numFmtId="8" fontId="3" fillId="0" borderId="258" xfId="0" applyNumberFormat="1" applyFont="1" applyBorder="1"/>
    <xf numFmtId="0" fontId="3" fillId="0" borderId="259" xfId="0" applyFont="1" applyBorder="1"/>
    <xf numFmtId="8" fontId="0" fillId="0" borderId="256" xfId="0" applyNumberFormat="1" applyBorder="1"/>
    <xf numFmtId="0" fontId="0" fillId="0" borderId="257" xfId="0" applyBorder="1"/>
    <xf numFmtId="44" fontId="0" fillId="0" borderId="260" xfId="2" applyFont="1" applyBorder="1"/>
    <xf numFmtId="0" fontId="0" fillId="0" borderId="261" xfId="0" applyBorder="1"/>
    <xf numFmtId="0" fontId="3" fillId="0" borderId="91" xfId="0" applyFont="1" applyBorder="1" applyAlignment="1">
      <alignment horizontal="center" vertical="center"/>
    </xf>
    <xf numFmtId="0" fontId="0" fillId="0" borderId="91" xfId="0" applyBorder="1"/>
    <xf numFmtId="44" fontId="0" fillId="0" borderId="91" xfId="0" applyNumberFormat="1" applyBorder="1"/>
    <xf numFmtId="0" fontId="0" fillId="0" borderId="4" xfId="0" applyBorder="1"/>
    <xf numFmtId="44" fontId="65" fillId="0" borderId="7" xfId="0" applyNumberFormat="1" applyFont="1" applyBorder="1"/>
    <xf numFmtId="44" fontId="65" fillId="0" borderId="114" xfId="0" applyNumberFormat="1" applyFont="1" applyBorder="1"/>
    <xf numFmtId="44" fontId="65" fillId="0" borderId="115" xfId="0" applyNumberFormat="1" applyFont="1" applyBorder="1"/>
    <xf numFmtId="44" fontId="65" fillId="0" borderId="197" xfId="0" applyNumberFormat="1" applyFont="1" applyBorder="1"/>
    <xf numFmtId="0" fontId="3" fillId="0" borderId="262" xfId="0" applyFont="1" applyBorder="1"/>
    <xf numFmtId="44" fontId="3" fillId="0" borderId="263" xfId="0" applyNumberFormat="1" applyFont="1" applyBorder="1"/>
    <xf numFmtId="44" fontId="3" fillId="0" borderId="163" xfId="2" applyFont="1" applyBorder="1" applyAlignment="1">
      <alignment vertical="center"/>
    </xf>
    <xf numFmtId="44" fontId="3" fillId="0" borderId="164" xfId="2" applyFont="1" applyBorder="1"/>
    <xf numFmtId="44" fontId="3" fillId="0" borderId="264" xfId="2" applyFont="1" applyBorder="1" applyAlignment="1">
      <alignment vertical="center"/>
    </xf>
    <xf numFmtId="44" fontId="3" fillId="0" borderId="251" xfId="2" applyFont="1" applyBorder="1" applyAlignment="1">
      <alignment vertical="center"/>
    </xf>
    <xf numFmtId="0" fontId="0" fillId="0" borderId="253" xfId="0" applyBorder="1"/>
    <xf numFmtId="44" fontId="3" fillId="0" borderId="193" xfId="2" applyFont="1" applyBorder="1" applyAlignment="1">
      <alignment vertical="center"/>
    </xf>
    <xf numFmtId="44" fontId="3" fillId="0" borderId="82" xfId="2" applyFont="1" applyBorder="1" applyAlignment="1">
      <alignment vertical="center"/>
    </xf>
    <xf numFmtId="44" fontId="3" fillId="0" borderId="0" xfId="2" applyFont="1" applyAlignment="1">
      <alignment vertical="center"/>
    </xf>
    <xf numFmtId="44" fontId="3" fillId="0" borderId="265" xfId="2" applyFont="1" applyBorder="1" applyAlignment="1">
      <alignment vertical="center"/>
    </xf>
    <xf numFmtId="44" fontId="3" fillId="0" borderId="252" xfId="2" applyFont="1" applyBorder="1" applyAlignment="1">
      <alignment vertical="center"/>
    </xf>
    <xf numFmtId="0" fontId="0" fillId="0" borderId="176" xfId="0" applyBorder="1"/>
    <xf numFmtId="0" fontId="3" fillId="0" borderId="186" xfId="0" applyFont="1" applyBorder="1" applyAlignment="1">
      <alignment horizontal="center" vertical="center"/>
    </xf>
    <xf numFmtId="0" fontId="3" fillId="0" borderId="6" xfId="0" applyFont="1" applyBorder="1" applyAlignment="1">
      <alignment horizontal="center" vertical="center"/>
    </xf>
    <xf numFmtId="0" fontId="3" fillId="0" borderId="242" xfId="0" applyFont="1" applyBorder="1" applyAlignment="1">
      <alignment horizontal="center" vertical="center"/>
    </xf>
    <xf numFmtId="0" fontId="3" fillId="0" borderId="266" xfId="0" applyFont="1" applyBorder="1" applyAlignment="1">
      <alignment horizontal="center" vertical="center"/>
    </xf>
    <xf numFmtId="0" fontId="3" fillId="0" borderId="261" xfId="0" applyFont="1" applyBorder="1" applyAlignment="1">
      <alignment horizontal="center" vertical="center"/>
    </xf>
    <xf numFmtId="44" fontId="3" fillId="0" borderId="162" xfId="2" applyFont="1" applyBorder="1" applyAlignment="1">
      <alignment vertical="center"/>
    </xf>
    <xf numFmtId="44" fontId="0" fillId="0" borderId="91" xfId="2" applyFont="1" applyBorder="1" applyAlignment="1">
      <alignment vertical="center"/>
    </xf>
    <xf numFmtId="44" fontId="0" fillId="0" borderId="215" xfId="2" applyFont="1" applyBorder="1" applyAlignment="1">
      <alignment vertical="center"/>
    </xf>
    <xf numFmtId="44" fontId="0" fillId="0" borderId="126" xfId="2" applyFont="1" applyBorder="1" applyAlignment="1">
      <alignment vertical="center"/>
    </xf>
    <xf numFmtId="0" fontId="0" fillId="0" borderId="101" xfId="0" applyBorder="1" applyAlignment="1">
      <alignment wrapText="1"/>
    </xf>
    <xf numFmtId="0" fontId="66" fillId="0" borderId="91" xfId="0" applyFont="1" applyBorder="1"/>
    <xf numFmtId="44" fontId="65" fillId="0" borderId="80" xfId="0" applyNumberFormat="1" applyFont="1" applyBorder="1"/>
    <xf numFmtId="0" fontId="0" fillId="0" borderId="109" xfId="0" applyBorder="1"/>
    <xf numFmtId="0" fontId="0" fillId="0" borderId="210" xfId="0" applyBorder="1" applyAlignment="1">
      <alignment vertical="center" wrapText="1"/>
    </xf>
    <xf numFmtId="9" fontId="0" fillId="0" borderId="203" xfId="0" applyNumberFormat="1" applyBorder="1" applyAlignment="1">
      <alignment vertical="center"/>
    </xf>
    <xf numFmtId="0" fontId="0" fillId="0" borderId="212" xfId="0" applyBorder="1" applyAlignment="1">
      <alignment vertical="center"/>
    </xf>
    <xf numFmtId="3" fontId="3" fillId="0" borderId="98" xfId="0" applyNumberFormat="1" applyFont="1" applyBorder="1" applyAlignment="1">
      <alignment vertical="center"/>
    </xf>
    <xf numFmtId="0" fontId="0" fillId="0" borderId="213" xfId="0" applyBorder="1" applyAlignment="1">
      <alignment vertical="center" wrapText="1"/>
    </xf>
    <xf numFmtId="9" fontId="0" fillId="0" borderId="91" xfId="0" applyNumberFormat="1" applyBorder="1" applyAlignment="1">
      <alignment vertical="center"/>
    </xf>
    <xf numFmtId="0" fontId="31" fillId="26" borderId="97" xfId="0" applyFont="1" applyFill="1" applyBorder="1" applyAlignment="1">
      <alignment vertical="center"/>
    </xf>
    <xf numFmtId="0" fontId="31" fillId="26" borderId="171" xfId="0" applyFont="1" applyFill="1" applyBorder="1" applyAlignment="1">
      <alignment vertical="center"/>
    </xf>
    <xf numFmtId="0" fontId="31" fillId="26" borderId="98" xfId="0" applyFont="1" applyFill="1" applyBorder="1" applyAlignment="1">
      <alignment vertical="center"/>
    </xf>
    <xf numFmtId="0" fontId="0" fillId="0" borderId="215" xfId="0" applyBorder="1" applyAlignment="1">
      <alignment vertical="center" wrapText="1"/>
    </xf>
    <xf numFmtId="9" fontId="0" fillId="0" borderId="126" xfId="0" applyNumberFormat="1" applyBorder="1" applyAlignment="1">
      <alignment vertical="center"/>
    </xf>
    <xf numFmtId="10" fontId="0" fillId="0" borderId="203" xfId="0" applyNumberFormat="1" applyBorder="1" applyAlignment="1">
      <alignment vertical="center"/>
    </xf>
    <xf numFmtId="0" fontId="0" fillId="0" borderId="212" xfId="0" applyBorder="1" applyAlignment="1">
      <alignment vertical="center" wrapText="1"/>
    </xf>
    <xf numFmtId="10" fontId="0" fillId="0" borderId="126" xfId="0" applyNumberFormat="1" applyBorder="1" applyAlignment="1">
      <alignment vertical="center"/>
    </xf>
    <xf numFmtId="0" fontId="0" fillId="0" borderId="216" xfId="0" applyBorder="1" applyAlignment="1">
      <alignment vertical="center" wrapText="1"/>
    </xf>
    <xf numFmtId="0" fontId="0" fillId="0" borderId="267" xfId="0" applyBorder="1"/>
    <xf numFmtId="0" fontId="0" fillId="27" borderId="0" xfId="0" applyFill="1"/>
    <xf numFmtId="177" fontId="0" fillId="27" borderId="0" xfId="2" applyNumberFormat="1" applyFont="1" applyFill="1"/>
    <xf numFmtId="0" fontId="0" fillId="27" borderId="268" xfId="0" applyFill="1" applyBorder="1"/>
    <xf numFmtId="44" fontId="0" fillId="27" borderId="268" xfId="2" applyFont="1" applyFill="1" applyBorder="1"/>
    <xf numFmtId="0" fontId="31" fillId="26" borderId="268" xfId="0" applyFont="1" applyFill="1" applyBorder="1"/>
    <xf numFmtId="44" fontId="3" fillId="0" borderId="97" xfId="0" applyNumberFormat="1" applyFont="1" applyBorder="1"/>
    <xf numFmtId="0" fontId="0" fillId="0" borderId="191" xfId="0" applyBorder="1"/>
    <xf numFmtId="44" fontId="17" fillId="0" borderId="97" xfId="0" applyNumberFormat="1" applyFont="1" applyBorder="1"/>
    <xf numFmtId="0" fontId="17" fillId="0" borderId="191" xfId="0" applyFont="1" applyBorder="1"/>
    <xf numFmtId="0" fontId="17" fillId="0" borderId="98" xfId="0" applyFont="1" applyBorder="1"/>
    <xf numFmtId="178" fontId="0" fillId="0" borderId="0" xfId="2" applyNumberFormat="1" applyFont="1"/>
    <xf numFmtId="10" fontId="0" fillId="0" borderId="0" xfId="0" applyNumberFormat="1"/>
    <xf numFmtId="43" fontId="0" fillId="0" borderId="0" xfId="0" applyNumberFormat="1"/>
    <xf numFmtId="44" fontId="0" fillId="0" borderId="97" xfId="2" applyFont="1" applyBorder="1"/>
    <xf numFmtId="177" fontId="0" fillId="0" borderId="0" xfId="0" applyNumberFormat="1" applyAlignment="1">
      <alignment vertical="center"/>
    </xf>
    <xf numFmtId="164" fontId="0" fillId="0" borderId="0" xfId="0" applyNumberFormat="1" applyAlignment="1">
      <alignment vertical="center"/>
    </xf>
    <xf numFmtId="0" fontId="3" fillId="0" borderId="97" xfId="0" applyFont="1" applyBorder="1" applyAlignment="1">
      <alignment vertical="center" wrapText="1"/>
    </xf>
    <xf numFmtId="0" fontId="3" fillId="0" borderId="171" xfId="0" applyFont="1" applyBorder="1" applyAlignment="1">
      <alignment vertical="center" wrapText="1"/>
    </xf>
    <xf numFmtId="164" fontId="0" fillId="0" borderId="82" xfId="0" applyNumberFormat="1" applyBorder="1" applyAlignment="1">
      <alignment vertical="center"/>
    </xf>
    <xf numFmtId="164" fontId="0" fillId="0" borderId="83" xfId="0" applyNumberFormat="1" applyBorder="1" applyAlignment="1">
      <alignment vertical="center"/>
    </xf>
    <xf numFmtId="0" fontId="0" fillId="0" borderId="84" xfId="0" applyBorder="1" applyAlignment="1">
      <alignment vertical="center" wrapText="1"/>
    </xf>
    <xf numFmtId="164" fontId="0" fillId="0" borderId="0" xfId="7" applyFont="1" applyAlignment="1">
      <alignment vertical="center"/>
    </xf>
    <xf numFmtId="164" fontId="3" fillId="0" borderId="82" xfId="0" applyNumberFormat="1" applyFont="1" applyBorder="1" applyAlignment="1">
      <alignment horizontal="center" vertical="center"/>
    </xf>
    <xf numFmtId="164" fontId="3" fillId="0" borderId="83" xfId="0" applyNumberFormat="1" applyFont="1" applyBorder="1" applyAlignment="1">
      <alignment horizontal="center" vertical="center"/>
    </xf>
    <xf numFmtId="0" fontId="0" fillId="0" borderId="84" xfId="0" applyBorder="1" applyAlignment="1">
      <alignment wrapText="1"/>
    </xf>
    <xf numFmtId="164" fontId="3" fillId="0" borderId="83" xfId="0" applyNumberFormat="1" applyFont="1" applyBorder="1" applyAlignment="1">
      <alignment vertical="center"/>
    </xf>
    <xf numFmtId="0" fontId="3" fillId="0" borderId="83" xfId="0" applyFont="1" applyBorder="1" applyAlignment="1">
      <alignment wrapText="1"/>
    </xf>
    <xf numFmtId="164" fontId="0" fillId="0" borderId="0" xfId="7" applyFont="1"/>
    <xf numFmtId="164" fontId="0" fillId="28" borderId="171" xfId="7" applyFont="1" applyFill="1" applyBorder="1"/>
    <xf numFmtId="164" fontId="3" fillId="0" borderId="0" xfId="0" applyNumberFormat="1" applyFont="1" applyAlignment="1">
      <alignment vertical="center"/>
    </xf>
    <xf numFmtId="164" fontId="0" fillId="0" borderId="160" xfId="0" applyNumberFormat="1" applyBorder="1" applyAlignment="1">
      <alignment vertical="center"/>
    </xf>
    <xf numFmtId="164" fontId="0" fillId="0" borderId="189" xfId="0" applyNumberFormat="1" applyBorder="1" applyAlignment="1">
      <alignment vertical="center"/>
    </xf>
    <xf numFmtId="0" fontId="0" fillId="0" borderId="190" xfId="0" applyBorder="1" applyAlignment="1">
      <alignment wrapText="1"/>
    </xf>
    <xf numFmtId="164" fontId="0" fillId="0" borderId="99" xfId="0" applyNumberFormat="1" applyBorder="1"/>
    <xf numFmtId="164" fontId="0" fillId="0" borderId="182" xfId="0" applyNumberFormat="1" applyBorder="1"/>
    <xf numFmtId="0" fontId="0" fillId="0" borderId="194" xfId="0" applyBorder="1"/>
    <xf numFmtId="0" fontId="3" fillId="0" borderId="162" xfId="0" applyFont="1" applyBorder="1" applyAlignment="1">
      <alignment wrapText="1"/>
    </xf>
    <xf numFmtId="0" fontId="3" fillId="0" borderId="163" xfId="0" applyFont="1" applyBorder="1" applyAlignment="1">
      <alignment wrapText="1"/>
    </xf>
    <xf numFmtId="10" fontId="3" fillId="0" borderId="97" xfId="3" applyNumberFormat="1" applyFont="1" applyBorder="1"/>
    <xf numFmtId="44" fontId="3" fillId="0" borderId="203" xfId="0" applyNumberFormat="1" applyFont="1" applyBorder="1"/>
    <xf numFmtId="0" fontId="3" fillId="0" borderId="212" xfId="0" applyFont="1" applyBorder="1"/>
    <xf numFmtId="0" fontId="0" fillId="0" borderId="214" xfId="0" applyBorder="1" applyAlignment="1">
      <alignment wrapText="1"/>
    </xf>
    <xf numFmtId="44" fontId="0" fillId="0" borderId="215" xfId="0" applyNumberFormat="1" applyBorder="1" applyAlignment="1">
      <alignment vertical="center"/>
    </xf>
    <xf numFmtId="44" fontId="0" fillId="0" borderId="126" xfId="0" applyNumberFormat="1" applyBorder="1" applyAlignment="1">
      <alignment vertical="center"/>
    </xf>
    <xf numFmtId="0" fontId="3" fillId="0" borderId="164" xfId="0" applyFont="1" applyBorder="1" applyAlignment="1">
      <alignment horizontal="center" vertical="center"/>
    </xf>
    <xf numFmtId="2" fontId="3" fillId="0" borderId="85" xfId="0" applyNumberFormat="1" applyFont="1" applyBorder="1"/>
    <xf numFmtId="0" fontId="3" fillId="0" borderId="253" xfId="0" applyFont="1" applyBorder="1"/>
    <xf numFmtId="0" fontId="0" fillId="19" borderId="109" xfId="0" applyFill="1" applyBorder="1"/>
    <xf numFmtId="9" fontId="3" fillId="0" borderId="228" xfId="3" applyFont="1" applyBorder="1"/>
    <xf numFmtId="9" fontId="65" fillId="0" borderId="269" xfId="3" applyFont="1" applyBorder="1"/>
    <xf numFmtId="44" fontId="65" fillId="0" borderId="177" xfId="0" applyNumberFormat="1" applyFont="1" applyBorder="1"/>
    <xf numFmtId="0" fontId="0" fillId="0" borderId="270" xfId="0" applyBorder="1"/>
    <xf numFmtId="0" fontId="0" fillId="0" borderId="271" xfId="0" applyBorder="1"/>
    <xf numFmtId="9" fontId="0" fillId="0" borderId="210" xfId="3" applyFont="1" applyBorder="1"/>
    <xf numFmtId="9" fontId="0" fillId="0" borderId="212" xfId="3" applyFont="1" applyBorder="1"/>
    <xf numFmtId="44" fontId="0" fillId="0" borderId="253" xfId="0" applyNumberFormat="1" applyBorder="1"/>
    <xf numFmtId="44" fontId="0" fillId="0" borderId="212" xfId="0" applyNumberFormat="1" applyBorder="1"/>
    <xf numFmtId="0" fontId="3" fillId="0" borderId="174" xfId="0" applyFont="1" applyBorder="1"/>
    <xf numFmtId="9" fontId="0" fillId="0" borderId="215" xfId="3" applyFont="1" applyBorder="1"/>
    <xf numFmtId="9" fontId="0" fillId="0" borderId="216" xfId="3" applyFont="1" applyBorder="1"/>
    <xf numFmtId="44" fontId="0" fillId="0" borderId="109" xfId="0" applyNumberFormat="1" applyBorder="1"/>
    <xf numFmtId="44" fontId="0" fillId="0" borderId="216" xfId="0" applyNumberFormat="1" applyBorder="1"/>
    <xf numFmtId="0" fontId="3" fillId="0" borderId="226" xfId="0" applyFont="1" applyBorder="1" applyAlignment="1">
      <alignment vertical="center" wrapText="1"/>
    </xf>
    <xf numFmtId="0" fontId="3" fillId="0" borderId="119" xfId="0" applyFont="1" applyBorder="1" applyAlignment="1">
      <alignment vertical="center" wrapText="1"/>
    </xf>
    <xf numFmtId="0" fontId="3" fillId="0" borderId="176" xfId="0" applyFont="1" applyBorder="1" applyAlignment="1">
      <alignment vertical="center"/>
    </xf>
    <xf numFmtId="0" fontId="3" fillId="0" borderId="226" xfId="0" applyFont="1" applyBorder="1" applyAlignment="1">
      <alignment vertical="center"/>
    </xf>
    <xf numFmtId="0" fontId="3" fillId="0" borderId="119" xfId="0" applyFont="1" applyBorder="1" applyAlignment="1">
      <alignment vertical="center"/>
    </xf>
    <xf numFmtId="9" fontId="3" fillId="0" borderId="177" xfId="3" applyFont="1" applyBorder="1"/>
    <xf numFmtId="9" fontId="3" fillId="0" borderId="167" xfId="3" applyFont="1" applyBorder="1"/>
    <xf numFmtId="44" fontId="0" fillId="0" borderId="177" xfId="2" applyFont="1" applyBorder="1"/>
    <xf numFmtId="44" fontId="0" fillId="0" borderId="162" xfId="2" applyFont="1" applyBorder="1"/>
    <xf numFmtId="44" fontId="0" fillId="0" borderId="164" xfId="2" applyFont="1" applyBorder="1"/>
    <xf numFmtId="0" fontId="3" fillId="0" borderId="85" xfId="0" applyFont="1" applyBorder="1"/>
    <xf numFmtId="44" fontId="0" fillId="0" borderId="203" xfId="2" applyFont="1" applyBorder="1"/>
    <xf numFmtId="44" fontId="0" fillId="0" borderId="272" xfId="0" applyNumberFormat="1" applyBorder="1" applyAlignment="1">
      <alignment vertical="center"/>
    </xf>
    <xf numFmtId="44" fontId="0" fillId="0" borderId="251" xfId="2" applyFont="1" applyBorder="1"/>
    <xf numFmtId="0" fontId="0" fillId="0" borderId="175" xfId="0" applyBorder="1" applyAlignment="1">
      <alignment vertical="center" wrapText="1"/>
    </xf>
    <xf numFmtId="9" fontId="1" fillId="0" borderId="215" xfId="3" applyFont="1" applyBorder="1" applyAlignment="1">
      <alignment vertical="center"/>
    </xf>
    <xf numFmtId="9" fontId="0" fillId="0" borderId="126" xfId="3" applyFont="1" applyBorder="1" applyAlignment="1">
      <alignment vertical="center"/>
    </xf>
    <xf numFmtId="44" fontId="0" fillId="0" borderId="216" xfId="0" applyNumberFormat="1" applyBorder="1" applyAlignment="1">
      <alignment vertical="center"/>
    </xf>
    <xf numFmtId="44" fontId="0" fillId="0" borderId="273" xfId="0" applyNumberFormat="1" applyBorder="1" applyAlignment="1">
      <alignment vertical="center"/>
    </xf>
    <xf numFmtId="44" fontId="0" fillId="0" borderId="252" xfId="2" applyFont="1" applyBorder="1" applyAlignment="1">
      <alignment vertical="center"/>
    </xf>
    <xf numFmtId="0" fontId="3" fillId="0" borderId="173" xfId="0" applyFont="1" applyBorder="1" applyAlignment="1">
      <alignment vertical="center" wrapText="1"/>
    </xf>
    <xf numFmtId="0" fontId="3" fillId="0" borderId="85" xfId="0" applyFont="1" applyBorder="1" applyAlignment="1">
      <alignment vertical="center"/>
    </xf>
    <xf numFmtId="9" fontId="3" fillId="0" borderId="97" xfId="3" applyFont="1" applyBorder="1"/>
    <xf numFmtId="44" fontId="0" fillId="0" borderId="98" xfId="0" applyNumberFormat="1" applyBorder="1"/>
    <xf numFmtId="9" fontId="0" fillId="0" borderId="97" xfId="3" applyFont="1" applyBorder="1"/>
    <xf numFmtId="44" fontId="0" fillId="0" borderId="171" xfId="2" applyFont="1" applyBorder="1"/>
    <xf numFmtId="44" fontId="0" fillId="0" borderId="171" xfId="0" applyNumberFormat="1" applyBorder="1"/>
    <xf numFmtId="9" fontId="0" fillId="0" borderId="222" xfId="3" applyFont="1" applyBorder="1"/>
    <xf numFmtId="44" fontId="0" fillId="0" borderId="223" xfId="0" applyNumberFormat="1" applyBorder="1"/>
    <xf numFmtId="0" fontId="3" fillId="0" borderId="97" xfId="0" applyFont="1" applyBorder="1"/>
    <xf numFmtId="9" fontId="3" fillId="0" borderId="162" xfId="0" applyNumberFormat="1" applyFont="1" applyBorder="1" applyAlignment="1">
      <alignment vertical="center"/>
    </xf>
    <xf numFmtId="166" fontId="3" fillId="0" borderId="163" xfId="7" applyNumberFormat="1" applyFont="1" applyBorder="1" applyAlignment="1">
      <alignment vertical="center"/>
    </xf>
    <xf numFmtId="170" fontId="0" fillId="0" borderId="213" xfId="3" applyNumberFormat="1" applyFont="1" applyBorder="1"/>
    <xf numFmtId="166" fontId="0" fillId="0" borderId="203" xfId="7" applyNumberFormat="1" applyFont="1" applyBorder="1"/>
    <xf numFmtId="166" fontId="0" fillId="0" borderId="91" xfId="7" applyNumberFormat="1" applyFont="1" applyBorder="1"/>
    <xf numFmtId="9" fontId="0" fillId="10" borderId="98" xfId="0" applyNumberFormat="1" applyFill="1" applyBorder="1"/>
    <xf numFmtId="0" fontId="0" fillId="0" borderId="221" xfId="0" applyBorder="1"/>
    <xf numFmtId="164" fontId="0" fillId="0" borderId="168" xfId="7" applyFont="1" applyBorder="1"/>
    <xf numFmtId="164" fontId="0" fillId="0" borderId="174" xfId="7" applyFont="1" applyBorder="1"/>
    <xf numFmtId="0" fontId="0" fillId="0" borderId="274" xfId="0" applyBorder="1"/>
    <xf numFmtId="164" fontId="0" fillId="24" borderId="164" xfId="7" applyFont="1" applyFill="1" applyBorder="1"/>
    <xf numFmtId="164" fontId="0" fillId="19" borderId="164" xfId="7" applyFont="1" applyFill="1" applyBorder="1"/>
    <xf numFmtId="166" fontId="0" fillId="0" borderId="126" xfId="7" applyNumberFormat="1" applyFont="1" applyBorder="1"/>
    <xf numFmtId="9" fontId="0" fillId="0" borderId="0" xfId="0" applyNumberFormat="1" applyAlignment="1">
      <alignment vertical="center"/>
    </xf>
    <xf numFmtId="44" fontId="3" fillId="0" borderId="85" xfId="0" applyNumberFormat="1" applyFont="1" applyBorder="1"/>
    <xf numFmtId="44" fontId="3" fillId="0" borderId="97" xfId="0" applyNumberFormat="1" applyFont="1" applyBorder="1" applyAlignment="1">
      <alignment horizontal="center" vertical="center" wrapText="1"/>
    </xf>
    <xf numFmtId="44" fontId="3" fillId="0" borderId="171" xfId="0" applyNumberFormat="1" applyFont="1" applyBorder="1" applyAlignment="1">
      <alignment horizontal="center" vertical="center" wrapText="1"/>
    </xf>
    <xf numFmtId="0" fontId="67" fillId="0" borderId="98" xfId="0" applyFont="1" applyBorder="1"/>
    <xf numFmtId="44" fontId="0" fillId="0" borderId="0" xfId="0" applyNumberFormat="1" applyAlignment="1">
      <alignment horizontal="center" vertical="center" wrapText="1"/>
    </xf>
    <xf numFmtId="44" fontId="17" fillId="0" borderId="85" xfId="0" applyNumberFormat="1" applyFont="1" applyBorder="1"/>
    <xf numFmtId="44" fontId="17" fillId="0" borderId="97" xfId="0" applyNumberFormat="1" applyFont="1" applyBorder="1" applyAlignment="1">
      <alignment horizontal="center" vertical="center" wrapText="1"/>
    </xf>
    <xf numFmtId="44" fontId="17" fillId="0" borderId="171" xfId="0" applyNumberFormat="1" applyFont="1" applyBorder="1" applyAlignment="1">
      <alignment horizontal="center" vertical="center" wrapText="1"/>
    </xf>
    <xf numFmtId="44" fontId="17" fillId="0" borderId="98" xfId="0" applyNumberFormat="1" applyFont="1" applyBorder="1" applyAlignment="1">
      <alignment horizontal="center" vertical="center" wrapText="1"/>
    </xf>
    <xf numFmtId="44" fontId="0" fillId="0" borderId="0" xfId="2" applyFont="1" applyAlignment="1">
      <alignment horizontal="center" vertical="center" wrapText="1"/>
    </xf>
    <xf numFmtId="9" fontId="3" fillId="0" borderId="0" xfId="0" applyNumberFormat="1" applyFont="1" applyAlignment="1">
      <alignment vertical="center" wrapText="1"/>
    </xf>
    <xf numFmtId="164" fontId="0" fillId="0" borderId="83" xfId="0" applyNumberFormat="1" applyBorder="1"/>
    <xf numFmtId="0" fontId="0" fillId="0" borderId="99" xfId="0" applyBorder="1"/>
    <xf numFmtId="0" fontId="0" fillId="0" borderId="182" xfId="0" applyBorder="1" applyAlignment="1">
      <alignment horizontal="center" vertical="center"/>
    </xf>
    <xf numFmtId="164" fontId="0" fillId="0" borderId="84" xfId="0" applyNumberFormat="1" applyBorder="1"/>
    <xf numFmtId="164" fontId="0" fillId="0" borderId="84" xfId="0" applyNumberFormat="1" applyBorder="1" applyAlignment="1">
      <alignment vertical="center"/>
    </xf>
    <xf numFmtId="164" fontId="0" fillId="0" borderId="91" xfId="7" applyFont="1" applyBorder="1" applyAlignment="1">
      <alignment vertical="center"/>
    </xf>
    <xf numFmtId="164" fontId="0" fillId="0" borderId="82" xfId="7" applyFont="1" applyBorder="1" applyAlignment="1">
      <alignment vertical="center"/>
    </xf>
    <xf numFmtId="164" fontId="0" fillId="0" borderId="83" xfId="7" applyFont="1" applyBorder="1" applyAlignment="1">
      <alignment vertical="center"/>
    </xf>
    <xf numFmtId="164" fontId="0" fillId="0" borderId="84" xfId="7" applyFont="1" applyBorder="1" applyAlignment="1">
      <alignment vertical="center"/>
    </xf>
    <xf numFmtId="164" fontId="0" fillId="0" borderId="253" xfId="0" applyNumberFormat="1" applyBorder="1"/>
    <xf numFmtId="164" fontId="0" fillId="0" borderId="84" xfId="7" applyFont="1" applyFill="1" applyBorder="1"/>
    <xf numFmtId="0" fontId="0" fillId="0" borderId="83" xfId="0" applyBorder="1" applyAlignment="1">
      <alignment wrapText="1"/>
    </xf>
    <xf numFmtId="164" fontId="0" fillId="0" borderId="175" xfId="0" applyNumberFormat="1" applyBorder="1"/>
    <xf numFmtId="164" fontId="0" fillId="0" borderId="0" xfId="7" applyFont="1" applyFill="1"/>
    <xf numFmtId="0" fontId="0" fillId="0" borderId="275" xfId="0" applyBorder="1"/>
    <xf numFmtId="164" fontId="0" fillId="0" borderId="98" xfId="0" applyNumberFormat="1" applyBorder="1"/>
    <xf numFmtId="0" fontId="0" fillId="0" borderId="85" xfId="0" applyBorder="1"/>
    <xf numFmtId="164" fontId="0" fillId="0" borderId="82" xfId="0" applyNumberFormat="1" applyBorder="1"/>
    <xf numFmtId="164" fontId="17" fillId="0" borderId="105" xfId="7" quotePrefix="1" applyFont="1" applyBorder="1"/>
    <xf numFmtId="164" fontId="0" fillId="0" borderId="183" xfId="7" applyFont="1" applyBorder="1" applyAlignment="1">
      <alignment vertical="center" wrapText="1"/>
    </xf>
    <xf numFmtId="44" fontId="3" fillId="0" borderId="0" xfId="2" applyFont="1" applyFill="1" applyBorder="1" applyAlignment="1">
      <alignment horizontal="center" vertical="center" wrapText="1"/>
    </xf>
    <xf numFmtId="0" fontId="67" fillId="0" borderId="0" xfId="0" applyFont="1"/>
    <xf numFmtId="44" fontId="3" fillId="0" borderId="221" xfId="2" applyFont="1" applyFill="1" applyBorder="1" applyAlignment="1">
      <alignment horizontal="center" vertical="center" wrapText="1"/>
    </xf>
    <xf numFmtId="44" fontId="3" fillId="0" borderId="276" xfId="2" applyFont="1" applyFill="1" applyBorder="1" applyAlignment="1">
      <alignment horizontal="center" vertical="center" wrapText="1"/>
    </xf>
    <xf numFmtId="164" fontId="3" fillId="0" borderId="167" xfId="7" applyFont="1" applyFill="1" applyBorder="1" applyAlignment="1">
      <alignment horizontal="center" vertical="center" wrapText="1"/>
    </xf>
    <xf numFmtId="0" fontId="67" fillId="0" borderId="168" xfId="0" applyFont="1" applyBorder="1"/>
    <xf numFmtId="44" fontId="1" fillId="0" borderId="221" xfId="2" applyFont="1" applyFill="1" applyBorder="1" applyAlignment="1">
      <alignment horizontal="center" vertical="center" wrapText="1"/>
    </xf>
    <xf numFmtId="44" fontId="1" fillId="0" borderId="167" xfId="2" applyFont="1" applyFill="1" applyBorder="1" applyAlignment="1">
      <alignment horizontal="center" vertical="center" wrapText="1"/>
    </xf>
    <xf numFmtId="9" fontId="1" fillId="0" borderId="167" xfId="2" applyNumberFormat="1" applyFont="1" applyFill="1" applyBorder="1" applyAlignment="1">
      <alignment horizontal="center" vertical="center" wrapText="1"/>
    </xf>
    <xf numFmtId="164" fontId="1" fillId="0" borderId="167" xfId="7" applyFont="1" applyFill="1" applyBorder="1" applyAlignment="1">
      <alignment horizontal="center" vertical="center" wrapText="1"/>
    </xf>
    <xf numFmtId="0" fontId="68" fillId="0" borderId="177" xfId="0" applyFont="1" applyBorder="1" applyAlignment="1">
      <alignment wrapText="1"/>
    </xf>
    <xf numFmtId="44" fontId="1" fillId="0" borderId="222" xfId="2" applyFont="1" applyFill="1" applyBorder="1" applyAlignment="1">
      <alignment horizontal="center" vertical="center" wrapText="1"/>
    </xf>
    <xf numFmtId="44" fontId="1" fillId="0" borderId="0" xfId="2" applyFont="1" applyFill="1" applyBorder="1" applyAlignment="1">
      <alignment horizontal="center" vertical="center" wrapText="1"/>
    </xf>
    <xf numFmtId="10" fontId="1" fillId="14" borderId="0" xfId="2" applyNumberFormat="1" applyFont="1" applyFill="1" applyBorder="1" applyAlignment="1">
      <alignment horizontal="center" vertical="center" wrapText="1"/>
    </xf>
    <xf numFmtId="164" fontId="1" fillId="0" borderId="0" xfId="7" applyFont="1" applyFill="1" applyBorder="1" applyAlignment="1">
      <alignment horizontal="center" vertical="center" wrapText="1"/>
    </xf>
    <xf numFmtId="0" fontId="68" fillId="0" borderId="175" xfId="0" applyFont="1" applyBorder="1" applyAlignment="1">
      <alignment wrapText="1"/>
    </xf>
    <xf numFmtId="44" fontId="1" fillId="0" borderId="172" xfId="2" applyFont="1" applyFill="1" applyBorder="1" applyAlignment="1">
      <alignment horizontal="center" vertical="center" wrapText="1"/>
    </xf>
    <xf numFmtId="44" fontId="1" fillId="0" borderId="173" xfId="2" applyFont="1" applyFill="1" applyBorder="1" applyAlignment="1">
      <alignment horizontal="center" vertical="center" wrapText="1"/>
    </xf>
    <xf numFmtId="9" fontId="1" fillId="0" borderId="173" xfId="2" applyNumberFormat="1" applyFont="1" applyFill="1" applyBorder="1" applyAlignment="1">
      <alignment horizontal="center" vertical="center" wrapText="1"/>
    </xf>
    <xf numFmtId="164" fontId="1" fillId="0" borderId="173" xfId="7" applyFont="1" applyFill="1" applyBorder="1" applyAlignment="1">
      <alignment horizontal="center" vertical="center" wrapText="1"/>
    </xf>
    <xf numFmtId="0" fontId="68" fillId="0" borderId="176" xfId="0" applyFont="1" applyBorder="1" applyAlignment="1">
      <alignment wrapText="1"/>
    </xf>
    <xf numFmtId="44" fontId="3" fillId="0" borderId="97" xfId="2" applyFont="1" applyFill="1" applyBorder="1" applyAlignment="1">
      <alignment horizontal="center" vertical="center" wrapText="1"/>
    </xf>
    <xf numFmtId="44" fontId="3" fillId="0" borderId="171" xfId="2" applyFont="1" applyFill="1" applyBorder="1" applyAlignment="1">
      <alignment horizontal="center" vertical="center" wrapText="1"/>
    </xf>
    <xf numFmtId="44" fontId="3" fillId="0" borderId="98" xfId="2" applyFont="1" applyFill="1" applyBorder="1" applyAlignment="1">
      <alignment horizontal="center" vertical="center" wrapText="1"/>
    </xf>
    <xf numFmtId="0" fontId="67" fillId="0" borderId="85" xfId="0" applyFont="1" applyBorder="1" applyAlignment="1">
      <alignment wrapText="1"/>
    </xf>
    <xf numFmtId="44" fontId="0" fillId="0" borderId="177" xfId="0" applyNumberFormat="1" applyBorder="1"/>
    <xf numFmtId="0" fontId="45" fillId="0" borderId="0" xfId="0" applyFont="1" applyAlignment="1">
      <alignment vertical="center" wrapText="1"/>
    </xf>
    <xf numFmtId="44" fontId="0" fillId="0" borderId="176" xfId="2" applyFont="1" applyBorder="1" applyAlignment="1">
      <alignment vertical="center"/>
    </xf>
    <xf numFmtId="0" fontId="67" fillId="0" borderId="98" xfId="0" applyFont="1" applyBorder="1" applyAlignment="1">
      <alignment vertical="center"/>
    </xf>
    <xf numFmtId="44" fontId="0" fillId="17" borderId="0" xfId="0" applyNumberFormat="1" applyFill="1" applyAlignment="1">
      <alignment horizontal="center" vertical="center" wrapText="1"/>
    </xf>
    <xf numFmtId="0" fontId="3" fillId="17" borderId="85" xfId="0" applyFont="1" applyFill="1" applyBorder="1" applyAlignment="1">
      <alignment vertical="center" wrapText="1"/>
    </xf>
    <xf numFmtId="44" fontId="0" fillId="0" borderId="78" xfId="0" applyNumberFormat="1" applyBorder="1"/>
    <xf numFmtId="44" fontId="3" fillId="0" borderId="0" xfId="0" applyNumberFormat="1" applyFont="1" applyAlignment="1">
      <alignment horizontal="center" vertical="center" wrapText="1"/>
    </xf>
    <xf numFmtId="44" fontId="0" fillId="28" borderId="0" xfId="0" applyNumberFormat="1" applyFill="1"/>
    <xf numFmtId="44" fontId="0" fillId="28" borderId="0" xfId="0" applyNumberFormat="1" applyFill="1" applyAlignment="1">
      <alignment horizontal="center" vertical="center" wrapText="1"/>
    </xf>
    <xf numFmtId="0" fontId="45" fillId="28" borderId="0" xfId="0" applyFont="1" applyFill="1"/>
    <xf numFmtId="44" fontId="0" fillId="0" borderId="82" xfId="0" applyNumberFormat="1" applyBorder="1" applyAlignment="1">
      <alignment vertical="center"/>
    </xf>
    <xf numFmtId="44" fontId="0" fillId="0" borderId="83" xfId="0" applyNumberFormat="1" applyBorder="1" applyAlignment="1">
      <alignment vertical="center"/>
    </xf>
    <xf numFmtId="44" fontId="0" fillId="0" borderId="84" xfId="0" applyNumberFormat="1" applyBorder="1" applyAlignment="1">
      <alignment vertical="center"/>
    </xf>
    <xf numFmtId="44" fontId="3" fillId="0" borderId="97" xfId="0" applyNumberFormat="1" applyFont="1" applyBorder="1" applyAlignment="1">
      <alignment vertical="center"/>
    </xf>
    <xf numFmtId="44" fontId="3" fillId="0" borderId="277" xfId="2" applyFont="1" applyBorder="1" applyAlignment="1">
      <alignment vertical="center"/>
    </xf>
    <xf numFmtId="44" fontId="3" fillId="0" borderId="278" xfId="2" applyFont="1" applyBorder="1" applyAlignment="1">
      <alignment vertical="center"/>
    </xf>
    <xf numFmtId="0" fontId="3" fillId="0" borderId="98" xfId="0" applyFont="1" applyBorder="1" applyAlignment="1">
      <alignment wrapText="1"/>
    </xf>
    <xf numFmtId="44" fontId="0" fillId="0" borderId="279" xfId="0" applyNumberFormat="1" applyBorder="1"/>
    <xf numFmtId="44" fontId="0" fillId="0" borderId="280" xfId="0" applyNumberFormat="1" applyBorder="1"/>
    <xf numFmtId="44" fontId="0" fillId="0" borderId="281" xfId="0" applyNumberFormat="1" applyBorder="1"/>
    <xf numFmtId="44" fontId="0" fillId="0" borderId="99" xfId="0" applyNumberFormat="1" applyBorder="1" applyAlignment="1">
      <alignment vertical="center"/>
    </xf>
    <xf numFmtId="44" fontId="0" fillId="0" borderId="182" xfId="0" applyNumberFormat="1" applyBorder="1" applyAlignment="1">
      <alignment vertical="center"/>
    </xf>
    <xf numFmtId="44" fontId="0" fillId="0" borderId="183" xfId="0" applyNumberFormat="1" applyBorder="1" applyAlignment="1">
      <alignment vertical="center"/>
    </xf>
    <xf numFmtId="0" fontId="0" fillId="0" borderId="105" xfId="0" applyBorder="1" applyAlignment="1">
      <alignment wrapText="1"/>
    </xf>
    <xf numFmtId="0" fontId="0" fillId="0" borderId="101" xfId="0" applyBorder="1" applyAlignment="1">
      <alignment horizontal="center"/>
    </xf>
    <xf numFmtId="0" fontId="3" fillId="0" borderId="97" xfId="0" applyFont="1" applyBorder="1" applyAlignment="1">
      <alignment horizontal="center" vertical="center" wrapText="1"/>
    </xf>
    <xf numFmtId="0" fontId="3" fillId="0" borderId="171" xfId="0" applyFont="1" applyBorder="1" applyAlignment="1">
      <alignment horizontal="center" vertical="center"/>
    </xf>
    <xf numFmtId="0" fontId="3" fillId="0" borderId="98" xfId="0" applyFont="1" applyBorder="1" applyAlignment="1">
      <alignment horizontal="left" vertical="center"/>
    </xf>
    <xf numFmtId="9" fontId="25" fillId="0" borderId="85" xfId="3" applyFont="1" applyBorder="1" applyAlignment="1">
      <alignment vertical="center"/>
    </xf>
    <xf numFmtId="9" fontId="3" fillId="0" borderId="162" xfId="3" applyFont="1" applyBorder="1" applyAlignment="1">
      <alignment vertical="center"/>
    </xf>
    <xf numFmtId="9" fontId="3" fillId="0" borderId="163" xfId="3" applyFont="1" applyBorder="1" applyAlignment="1">
      <alignment vertical="center"/>
    </xf>
    <xf numFmtId="9" fontId="3" fillId="0" borderId="164" xfId="3" applyFont="1" applyBorder="1" applyAlignment="1">
      <alignment vertical="center"/>
    </xf>
    <xf numFmtId="44" fontId="69" fillId="0" borderId="97" xfId="2" applyFont="1" applyBorder="1" applyAlignment="1">
      <alignment vertical="center"/>
    </xf>
    <xf numFmtId="44" fontId="3" fillId="0" borderId="164" xfId="2" applyFont="1" applyBorder="1" applyAlignment="1">
      <alignment vertical="center"/>
    </xf>
    <xf numFmtId="0" fontId="3" fillId="0" borderId="85" xfId="0" applyFont="1" applyBorder="1" applyAlignment="1">
      <alignment wrapText="1"/>
    </xf>
    <xf numFmtId="44" fontId="17" fillId="0" borderId="85" xfId="2" applyFont="1" applyBorder="1" applyAlignment="1">
      <alignment vertical="center"/>
    </xf>
    <xf numFmtId="44" fontId="17" fillId="0" borderId="98" xfId="0" applyNumberFormat="1" applyFont="1" applyBorder="1" applyAlignment="1">
      <alignment vertical="center"/>
    </xf>
    <xf numFmtId="44" fontId="17" fillId="0" borderId="162" xfId="0" applyNumberFormat="1" applyFont="1" applyBorder="1" applyAlignment="1">
      <alignment vertical="center"/>
    </xf>
    <xf numFmtId="44" fontId="17" fillId="0" borderId="163" xfId="0" applyNumberFormat="1" applyFont="1" applyBorder="1" applyAlignment="1">
      <alignment vertical="center"/>
    </xf>
    <xf numFmtId="44" fontId="17" fillId="0" borderId="164" xfId="0" applyNumberFormat="1" applyFont="1" applyBorder="1" applyAlignment="1">
      <alignment vertical="center"/>
    </xf>
    <xf numFmtId="0" fontId="17" fillId="0" borderId="85" xfId="0" applyFont="1" applyBorder="1" applyAlignment="1">
      <alignment vertical="center" wrapText="1"/>
    </xf>
    <xf numFmtId="44" fontId="0" fillId="0" borderId="253" xfId="2" applyFont="1" applyBorder="1" applyAlignment="1">
      <alignment vertical="center"/>
    </xf>
    <xf numFmtId="44" fontId="0" fillId="0" borderId="111" xfId="0" applyNumberFormat="1" applyBorder="1" applyAlignment="1">
      <alignment vertical="center"/>
    </xf>
    <xf numFmtId="44" fontId="0" fillId="0" borderId="210" xfId="0" applyNumberFormat="1" applyBorder="1" applyAlignment="1">
      <alignment vertical="center"/>
    </xf>
    <xf numFmtId="44" fontId="0" fillId="0" borderId="203" xfId="0" applyNumberFormat="1" applyBorder="1" applyAlignment="1">
      <alignment vertical="center"/>
    </xf>
    <xf numFmtId="44" fontId="0" fillId="0" borderId="254" xfId="2" applyFont="1" applyBorder="1" applyAlignment="1">
      <alignment vertical="center"/>
    </xf>
    <xf numFmtId="44" fontId="0" fillId="0" borderId="213" xfId="0" applyNumberFormat="1" applyBorder="1"/>
    <xf numFmtId="44" fontId="0" fillId="0" borderId="109" xfId="2" applyFont="1" applyBorder="1" applyAlignment="1">
      <alignment vertical="center"/>
    </xf>
    <xf numFmtId="44" fontId="0" fillId="0" borderId="126" xfId="0" applyNumberFormat="1" applyBorder="1"/>
    <xf numFmtId="44" fontId="17" fillId="0" borderId="85" xfId="0" applyNumberFormat="1" applyFont="1" applyBorder="1" applyAlignment="1">
      <alignment vertical="center"/>
    </xf>
    <xf numFmtId="44" fontId="17" fillId="0" borderId="97" xfId="0" applyNumberFormat="1" applyFont="1" applyBorder="1" applyAlignment="1">
      <alignment vertical="center"/>
    </xf>
    <xf numFmtId="44" fontId="17" fillId="0" borderId="171" xfId="0" applyNumberFormat="1" applyFont="1" applyBorder="1" applyAlignment="1">
      <alignment vertical="center"/>
    </xf>
    <xf numFmtId="0" fontId="17" fillId="0" borderId="174" xfId="0" applyFont="1" applyBorder="1" applyAlignment="1">
      <alignment vertical="center" wrapText="1"/>
    </xf>
    <xf numFmtId="9" fontId="0" fillId="0" borderId="213" xfId="3" applyFont="1" applyBorder="1"/>
    <xf numFmtId="164" fontId="0" fillId="0" borderId="164" xfId="7" applyFont="1" applyFill="1" applyBorder="1"/>
    <xf numFmtId="2" fontId="0" fillId="0" borderId="82" xfId="7" applyNumberFormat="1" applyFont="1" applyBorder="1" applyAlignment="1">
      <alignment vertical="center"/>
    </xf>
    <xf numFmtId="2" fontId="0" fillId="0" borderId="83" xfId="7" applyNumberFormat="1" applyFont="1" applyBorder="1" applyAlignment="1">
      <alignment vertical="center"/>
    </xf>
    <xf numFmtId="2" fontId="0" fillId="0" borderId="84" xfId="7" applyNumberFormat="1" applyFont="1" applyBorder="1" applyAlignment="1">
      <alignment vertical="center"/>
    </xf>
    <xf numFmtId="164" fontId="0" fillId="0" borderId="91" xfId="0" applyNumberFormat="1" applyBorder="1"/>
    <xf numFmtId="164" fontId="0" fillId="28" borderId="82" xfId="0" applyNumberFormat="1" applyFill="1" applyBorder="1"/>
    <xf numFmtId="164" fontId="0" fillId="28" borderId="83" xfId="0" applyNumberFormat="1" applyFill="1" applyBorder="1"/>
    <xf numFmtId="164" fontId="0" fillId="28" borderId="84" xfId="0" applyNumberFormat="1" applyFill="1" applyBorder="1"/>
    <xf numFmtId="164" fontId="0" fillId="0" borderId="82" xfId="7" applyFont="1" applyBorder="1"/>
    <xf numFmtId="2" fontId="0" fillId="0" borderId="83" xfId="7" applyNumberFormat="1" applyFont="1" applyBorder="1"/>
    <xf numFmtId="164" fontId="0" fillId="0" borderId="83" xfId="7" applyFont="1" applyBorder="1"/>
    <xf numFmtId="164" fontId="0" fillId="0" borderId="84" xfId="7" applyFont="1" applyFill="1" applyBorder="1" applyAlignment="1">
      <alignment vertical="center"/>
    </xf>
    <xf numFmtId="164" fontId="0" fillId="0" borderId="101" xfId="7" applyFont="1" applyBorder="1"/>
    <xf numFmtId="164" fontId="0" fillId="0" borderId="0" xfId="7" applyFont="1" applyFill="1" applyAlignment="1">
      <alignment vertical="center"/>
    </xf>
    <xf numFmtId="164" fontId="0" fillId="0" borderId="282" xfId="7" applyFont="1" applyBorder="1"/>
    <xf numFmtId="164" fontId="0" fillId="0" borderId="227" xfId="7" applyFont="1" applyBorder="1"/>
    <xf numFmtId="164" fontId="0" fillId="0" borderId="85" xfId="0" applyNumberFormat="1" applyBorder="1"/>
    <xf numFmtId="0" fontId="0" fillId="21" borderId="97" xfId="0" applyFill="1" applyBorder="1"/>
    <xf numFmtId="0" fontId="0" fillId="21" borderId="171" xfId="0" applyFill="1" applyBorder="1"/>
    <xf numFmtId="0" fontId="0" fillId="21" borderId="98" xfId="0" applyFill="1" applyBorder="1"/>
    <xf numFmtId="164" fontId="0" fillId="0" borderId="189" xfId="7" applyFont="1" applyBorder="1"/>
    <xf numFmtId="164" fontId="0" fillId="0" borderId="190" xfId="7" applyFont="1" applyBorder="1"/>
    <xf numFmtId="164" fontId="0" fillId="0" borderId="0" xfId="7" applyFont="1" applyBorder="1"/>
    <xf numFmtId="164" fontId="0" fillId="0" borderId="78" xfId="7" applyFont="1" applyBorder="1" applyAlignment="1">
      <alignment vertical="center"/>
    </xf>
    <xf numFmtId="164" fontId="0" fillId="0" borderId="105" xfId="7" applyFont="1" applyBorder="1"/>
    <xf numFmtId="164" fontId="0" fillId="0" borderId="182" xfId="7" applyFont="1" applyBorder="1" applyAlignment="1">
      <alignment horizontal="center" vertical="center" wrapText="1"/>
    </xf>
    <xf numFmtId="44" fontId="3" fillId="0" borderId="97" xfId="2" applyFont="1" applyBorder="1" applyAlignment="1">
      <alignment horizontal="center" vertical="center" wrapText="1"/>
    </xf>
    <xf numFmtId="44" fontId="3" fillId="0" borderId="171" xfId="2" applyFont="1" applyBorder="1" applyAlignment="1">
      <alignment horizontal="center" vertical="center" wrapText="1"/>
    </xf>
    <xf numFmtId="44" fontId="3" fillId="0" borderId="98" xfId="2" applyFont="1" applyBorder="1" applyAlignment="1">
      <alignment horizontal="center" vertical="center" wrapText="1"/>
    </xf>
    <xf numFmtId="9" fontId="0" fillId="0" borderId="171" xfId="0" applyNumberFormat="1" applyBorder="1"/>
    <xf numFmtId="0" fontId="0" fillId="0" borderId="98" xfId="0" applyBorder="1" applyAlignment="1">
      <alignment horizontal="center" vertical="center" wrapText="1"/>
    </xf>
    <xf numFmtId="0" fontId="3" fillId="0" borderId="177" xfId="0" applyFont="1" applyBorder="1" applyAlignment="1">
      <alignment wrapText="1"/>
    </xf>
    <xf numFmtId="44" fontId="3" fillId="0" borderId="97" xfId="2" applyFont="1" applyBorder="1" applyAlignment="1">
      <alignment vertical="center"/>
    </xf>
    <xf numFmtId="44" fontId="3" fillId="0" borderId="171" xfId="2" applyFont="1" applyBorder="1" applyAlignment="1">
      <alignment vertical="center"/>
    </xf>
    <xf numFmtId="44" fontId="3" fillId="0" borderId="98" xfId="2" applyFont="1" applyBorder="1" applyAlignment="1">
      <alignment vertical="center"/>
    </xf>
    <xf numFmtId="0" fontId="3" fillId="0" borderId="176" xfId="0" applyFont="1" applyBorder="1"/>
    <xf numFmtId="0" fontId="3" fillId="0" borderId="98" xfId="0" applyFont="1" applyBorder="1" applyAlignment="1">
      <alignment vertical="center" wrapText="1"/>
    </xf>
    <xf numFmtId="44" fontId="17" fillId="0" borderId="171" xfId="0" applyNumberFormat="1" applyFont="1" applyBorder="1"/>
    <xf numFmtId="44" fontId="17" fillId="0" borderId="98" xfId="0" applyNumberFormat="1" applyFont="1" applyBorder="1"/>
    <xf numFmtId="0" fontId="17" fillId="0" borderId="174" xfId="0" applyFont="1" applyBorder="1"/>
    <xf numFmtId="0" fontId="17" fillId="0" borderId="164" xfId="0" applyFont="1" applyBorder="1" applyAlignment="1">
      <alignment vertical="center" wrapText="1"/>
    </xf>
    <xf numFmtId="0" fontId="0" fillId="0" borderId="167" xfId="0" applyBorder="1" applyAlignment="1">
      <alignment vertical="center"/>
    </xf>
    <xf numFmtId="0" fontId="3" fillId="0" borderId="168" xfId="0" applyFont="1" applyBorder="1" applyAlignment="1">
      <alignment vertical="center"/>
    </xf>
    <xf numFmtId="0" fontId="0" fillId="0" borderId="171" xfId="0" applyBorder="1" applyAlignment="1">
      <alignment vertical="center"/>
    </xf>
    <xf numFmtId="0" fontId="0" fillId="0" borderId="172" xfId="0" applyBorder="1" applyAlignment="1">
      <alignment vertical="center"/>
    </xf>
    <xf numFmtId="0" fontId="0" fillId="0" borderId="173" xfId="0" applyBorder="1" applyAlignment="1">
      <alignment vertical="center"/>
    </xf>
    <xf numFmtId="0" fontId="0" fillId="0" borderId="174" xfId="0" applyBorder="1" applyAlignment="1">
      <alignment vertical="center"/>
    </xf>
    <xf numFmtId="0" fontId="3" fillId="0" borderId="109" xfId="0" applyFont="1" applyBorder="1" applyAlignment="1">
      <alignment vertical="center"/>
    </xf>
    <xf numFmtId="0" fontId="3" fillId="0" borderId="175" xfId="0" applyFont="1" applyBorder="1" applyAlignment="1">
      <alignment vertical="center"/>
    </xf>
    <xf numFmtId="0" fontId="0" fillId="0" borderId="177" xfId="0" applyBorder="1" applyAlignment="1">
      <alignment vertical="center" wrapText="1"/>
    </xf>
    <xf numFmtId="44" fontId="0" fillId="0" borderId="176" xfId="0" applyNumberFormat="1" applyBorder="1" applyAlignment="1">
      <alignment vertical="center" wrapText="1"/>
    </xf>
    <xf numFmtId="44" fontId="3" fillId="0" borderId="179" xfId="2" applyFont="1" applyBorder="1" applyAlignment="1">
      <alignment vertical="center"/>
    </xf>
    <xf numFmtId="44" fontId="0" fillId="0" borderId="110" xfId="0" applyNumberFormat="1" applyBorder="1" applyAlignment="1">
      <alignment vertical="center"/>
    </xf>
    <xf numFmtId="44" fontId="0" fillId="0" borderId="180" xfId="0" applyNumberFormat="1" applyBorder="1" applyAlignment="1">
      <alignment vertical="center"/>
    </xf>
    <xf numFmtId="0" fontId="0" fillId="0" borderId="180" xfId="0" applyBorder="1" applyAlignment="1">
      <alignment vertical="center"/>
    </xf>
    <xf numFmtId="0" fontId="0" fillId="0" borderId="111" xfId="0" applyBorder="1" applyAlignment="1">
      <alignment vertical="center"/>
    </xf>
    <xf numFmtId="0" fontId="3" fillId="5" borderId="98" xfId="0" applyFont="1" applyFill="1" applyBorder="1" applyAlignment="1">
      <alignment vertical="center" wrapText="1"/>
    </xf>
    <xf numFmtId="44" fontId="0" fillId="0" borderId="155" xfId="2" applyFont="1" applyBorder="1" applyAlignment="1">
      <alignment vertical="center"/>
    </xf>
    <xf numFmtId="44" fontId="0" fillId="0" borderId="112" xfId="0" applyNumberFormat="1" applyBorder="1" applyAlignment="1">
      <alignment vertical="center"/>
    </xf>
    <xf numFmtId="44" fontId="0" fillId="0" borderId="181" xfId="0" applyNumberFormat="1" applyBorder="1" applyAlignment="1">
      <alignment vertical="center"/>
    </xf>
    <xf numFmtId="0" fontId="0" fillId="0" borderId="181" xfId="0" applyBorder="1" applyAlignment="1">
      <alignment vertical="center"/>
    </xf>
    <xf numFmtId="0" fontId="0" fillId="0" borderId="113" xfId="0" applyBorder="1" applyAlignment="1">
      <alignment vertical="center"/>
    </xf>
    <xf numFmtId="44" fontId="3" fillId="10" borderId="184" xfId="0" applyNumberFormat="1" applyFont="1" applyFill="1" applyBorder="1"/>
    <xf numFmtId="44" fontId="25" fillId="10" borderId="171" xfId="0" applyNumberFormat="1" applyFont="1" applyFill="1" applyBorder="1"/>
    <xf numFmtId="0" fontId="25" fillId="10" borderId="191" xfId="0" applyFont="1" applyFill="1" applyBorder="1"/>
    <xf numFmtId="0" fontId="25" fillId="10" borderId="98" xfId="0" applyFont="1" applyFill="1" applyBorder="1"/>
    <xf numFmtId="44" fontId="17" fillId="23" borderId="187" xfId="0" applyNumberFormat="1" applyFont="1" applyFill="1" applyBorder="1"/>
    <xf numFmtId="44" fontId="17" fillId="23" borderId="182" xfId="0" applyNumberFormat="1" applyFont="1" applyFill="1" applyBorder="1"/>
    <xf numFmtId="0" fontId="17" fillId="23" borderId="192" xfId="0" applyFont="1" applyFill="1" applyBorder="1"/>
    <xf numFmtId="0" fontId="17" fillId="23" borderId="183" xfId="0" applyFont="1" applyFill="1" applyBorder="1"/>
    <xf numFmtId="44" fontId="17" fillId="21" borderId="193" xfId="0" applyNumberFormat="1" applyFont="1" applyFill="1" applyBorder="1"/>
    <xf numFmtId="44" fontId="17" fillId="21" borderId="83" xfId="0" applyNumberFormat="1" applyFont="1" applyFill="1" applyBorder="1"/>
    <xf numFmtId="0" fontId="17" fillId="21" borderId="194" xfId="0" applyFont="1" applyFill="1" applyBorder="1"/>
    <xf numFmtId="0" fontId="17" fillId="21" borderId="84" xfId="0" applyFont="1" applyFill="1" applyBorder="1"/>
    <xf numFmtId="44" fontId="0" fillId="28" borderId="188" xfId="0" applyNumberFormat="1" applyFill="1" applyBorder="1"/>
    <xf numFmtId="44" fontId="0" fillId="28" borderId="189" xfId="0" applyNumberFormat="1" applyFill="1" applyBorder="1"/>
    <xf numFmtId="0" fontId="0" fillId="28" borderId="189" xfId="0" applyFill="1" applyBorder="1"/>
    <xf numFmtId="0" fontId="0" fillId="28" borderId="190" xfId="0" applyFill="1" applyBorder="1"/>
    <xf numFmtId="44" fontId="0" fillId="28" borderId="7" xfId="0" applyNumberFormat="1" applyFill="1" applyBorder="1"/>
    <xf numFmtId="44" fontId="0" fillId="28" borderId="182" xfId="0" applyNumberFormat="1" applyFill="1" applyBorder="1"/>
    <xf numFmtId="0" fontId="0" fillId="28" borderId="192" xfId="0" applyFill="1" applyBorder="1"/>
    <xf numFmtId="0" fontId="0" fillId="28" borderId="78" xfId="0" applyFill="1" applyBorder="1" applyAlignment="1">
      <alignment wrapText="1"/>
    </xf>
    <xf numFmtId="0" fontId="0" fillId="16" borderId="165" xfId="0" applyFill="1" applyBorder="1" applyAlignment="1">
      <alignment horizontal="center" vertical="center"/>
    </xf>
    <xf numFmtId="0" fontId="0" fillId="16" borderId="157" xfId="0" applyFill="1" applyBorder="1" applyAlignment="1">
      <alignment horizontal="center"/>
    </xf>
    <xf numFmtId="0" fontId="0" fillId="16" borderId="76" xfId="0" applyFill="1" applyBorder="1" applyAlignment="1">
      <alignment horizontal="center"/>
    </xf>
    <xf numFmtId="0" fontId="0" fillId="16" borderId="139" xfId="0" applyFill="1" applyBorder="1" applyAlignment="1">
      <alignment horizontal="center"/>
    </xf>
    <xf numFmtId="0" fontId="0" fillId="16" borderId="165" xfId="0" applyFill="1" applyBorder="1"/>
    <xf numFmtId="0" fontId="0" fillId="16" borderId="7" xfId="0" applyFill="1" applyBorder="1" applyAlignment="1">
      <alignment horizontal="center"/>
    </xf>
    <xf numFmtId="0" fontId="0" fillId="16" borderId="4" xfId="0" applyFill="1" applyBorder="1" applyAlignment="1">
      <alignment horizontal="center"/>
    </xf>
    <xf numFmtId="0" fontId="0" fillId="16" borderId="3" xfId="0" applyFill="1" applyBorder="1" applyAlignment="1">
      <alignment horizontal="center"/>
    </xf>
    <xf numFmtId="0" fontId="3" fillId="16" borderId="7" xfId="0" applyFont="1" applyFill="1" applyBorder="1"/>
    <xf numFmtId="44" fontId="3" fillId="10" borderId="80" xfId="0" applyNumberFormat="1" applyFont="1" applyFill="1" applyBorder="1"/>
    <xf numFmtId="44" fontId="3" fillId="10" borderId="81" xfId="0" applyNumberFormat="1" applyFont="1" applyFill="1" applyBorder="1"/>
    <xf numFmtId="44" fontId="3" fillId="10" borderId="195" xfId="0" applyNumberFormat="1" applyFont="1" applyFill="1" applyBorder="1"/>
    <xf numFmtId="0" fontId="3" fillId="10" borderId="195" xfId="0" applyFont="1" applyFill="1" applyBorder="1"/>
    <xf numFmtId="0" fontId="3" fillId="10" borderId="196" xfId="0" applyFont="1" applyFill="1" applyBorder="1"/>
    <xf numFmtId="44" fontId="0" fillId="29" borderId="186" xfId="0" applyNumberFormat="1" applyFill="1" applyBorder="1" applyAlignment="1">
      <alignment vertical="center" wrapText="1"/>
    </xf>
    <xf numFmtId="44" fontId="0" fillId="29" borderId="75" xfId="0" applyNumberFormat="1" applyFill="1" applyBorder="1" applyAlignment="1">
      <alignment vertical="center" wrapText="1"/>
    </xf>
    <xf numFmtId="44" fontId="0" fillId="29" borderId="0" xfId="0" applyNumberFormat="1" applyFill="1" applyAlignment="1">
      <alignment vertical="center" wrapText="1"/>
    </xf>
    <xf numFmtId="0" fontId="0" fillId="29" borderId="0" xfId="0" applyFill="1" applyAlignment="1">
      <alignment vertical="center" wrapText="1"/>
    </xf>
    <xf numFmtId="0" fontId="3" fillId="29" borderId="6" xfId="0" applyFont="1" applyFill="1" applyBorder="1" applyAlignment="1">
      <alignment vertical="center" wrapText="1"/>
    </xf>
    <xf numFmtId="44" fontId="0" fillId="17" borderId="80" xfId="0" applyNumberFormat="1" applyFill="1" applyBorder="1"/>
    <xf numFmtId="44" fontId="0" fillId="17" borderId="81" xfId="0" applyNumberFormat="1" applyFill="1" applyBorder="1"/>
    <xf numFmtId="44" fontId="0" fillId="17" borderId="195" xfId="0" applyNumberFormat="1" applyFill="1" applyBorder="1"/>
    <xf numFmtId="0" fontId="3" fillId="17" borderId="196" xfId="0" applyFont="1" applyFill="1" applyBorder="1"/>
    <xf numFmtId="44" fontId="0" fillId="25" borderId="186" xfId="0" applyNumberFormat="1" applyFill="1" applyBorder="1" applyAlignment="1">
      <alignment vertical="center" wrapText="1"/>
    </xf>
    <xf numFmtId="44" fontId="0" fillId="25" borderId="0" xfId="0" applyNumberFormat="1" applyFill="1" applyAlignment="1">
      <alignment vertical="center" wrapText="1"/>
    </xf>
    <xf numFmtId="0" fontId="3" fillId="25" borderId="6" xfId="0" applyFont="1" applyFill="1" applyBorder="1" applyAlignment="1">
      <alignment vertical="center" wrapText="1"/>
    </xf>
    <xf numFmtId="44" fontId="3" fillId="30" borderId="186" xfId="0" applyNumberFormat="1" applyFont="1" applyFill="1" applyBorder="1" applyAlignment="1">
      <alignment vertical="center"/>
    </xf>
    <xf numFmtId="44" fontId="3" fillId="30" borderId="0" xfId="0" applyNumberFormat="1" applyFont="1" applyFill="1" applyAlignment="1">
      <alignment vertical="center"/>
    </xf>
    <xf numFmtId="0" fontId="3" fillId="30" borderId="6" xfId="0" applyFont="1" applyFill="1" applyBorder="1" applyAlignment="1">
      <alignment vertical="center" wrapText="1"/>
    </xf>
    <xf numFmtId="44" fontId="0" fillId="31" borderId="186" xfId="0" applyNumberFormat="1" applyFill="1" applyBorder="1"/>
    <xf numFmtId="44" fontId="0" fillId="31" borderId="0" xfId="0" applyNumberFormat="1" applyFill="1"/>
    <xf numFmtId="0" fontId="3" fillId="31" borderId="6" xfId="0" applyFont="1" applyFill="1" applyBorder="1"/>
    <xf numFmtId="44" fontId="3" fillId="17" borderId="80" xfId="0" applyNumberFormat="1" applyFont="1" applyFill="1" applyBorder="1" applyAlignment="1">
      <alignment vertical="center"/>
    </xf>
    <xf numFmtId="44" fontId="3" fillId="17" borderId="195" xfId="0" applyNumberFormat="1" applyFont="1" applyFill="1" applyBorder="1" applyAlignment="1">
      <alignment vertical="center"/>
    </xf>
    <xf numFmtId="0" fontId="3" fillId="17" borderId="196" xfId="0" applyFont="1" applyFill="1" applyBorder="1" applyAlignment="1">
      <alignment vertical="center" wrapText="1"/>
    </xf>
    <xf numFmtId="44" fontId="3" fillId="22" borderId="186" xfId="0" applyNumberFormat="1" applyFont="1" applyFill="1" applyBorder="1"/>
    <xf numFmtId="44" fontId="3" fillId="22" borderId="0" xfId="0" applyNumberFormat="1" applyFont="1" applyFill="1"/>
    <xf numFmtId="0" fontId="3" fillId="22" borderId="6" xfId="0" applyFont="1" applyFill="1" applyBorder="1"/>
    <xf numFmtId="44" fontId="0" fillId="19" borderId="186" xfId="0" applyNumberFormat="1" applyFill="1" applyBorder="1"/>
    <xf numFmtId="44" fontId="0" fillId="19" borderId="0" xfId="0" applyNumberFormat="1" applyFill="1"/>
    <xf numFmtId="0" fontId="0" fillId="19" borderId="0" xfId="0" applyFill="1"/>
    <xf numFmtId="0" fontId="0" fillId="19" borderId="6" xfId="0" applyFill="1" applyBorder="1"/>
    <xf numFmtId="44" fontId="0" fillId="19" borderId="186" xfId="0" applyNumberFormat="1" applyFill="1" applyBorder="1" applyAlignment="1">
      <alignment vertical="center"/>
    </xf>
    <xf numFmtId="0" fontId="0" fillId="19" borderId="0" xfId="0" applyFill="1" applyAlignment="1">
      <alignment vertical="center"/>
    </xf>
    <xf numFmtId="44" fontId="0" fillId="19" borderId="0" xfId="0" applyNumberFormat="1" applyFill="1" applyAlignment="1">
      <alignment vertical="center"/>
    </xf>
    <xf numFmtId="0" fontId="0" fillId="19" borderId="6" xfId="0" applyFill="1" applyBorder="1" applyAlignment="1">
      <alignment vertical="center" wrapText="1"/>
    </xf>
    <xf numFmtId="44" fontId="3" fillId="23" borderId="186" xfId="0" applyNumberFormat="1" applyFont="1" applyFill="1" applyBorder="1"/>
    <xf numFmtId="44" fontId="3" fillId="23" borderId="0" xfId="0" applyNumberFormat="1" applyFont="1" applyFill="1"/>
    <xf numFmtId="0" fontId="3" fillId="23" borderId="6" xfId="0" applyFont="1" applyFill="1" applyBorder="1"/>
    <xf numFmtId="0" fontId="3" fillId="23" borderId="6" xfId="0" applyFont="1" applyFill="1" applyBorder="1" applyAlignment="1">
      <alignment horizontal="left"/>
    </xf>
    <xf numFmtId="0" fontId="0" fillId="22" borderId="80" xfId="0" applyFill="1" applyBorder="1" applyAlignment="1">
      <alignment horizontal="center" vertical="center"/>
    </xf>
    <xf numFmtId="0" fontId="0" fillId="22" borderId="195" xfId="0" applyFill="1" applyBorder="1" applyAlignment="1">
      <alignment horizontal="center"/>
    </xf>
    <xf numFmtId="44" fontId="0" fillId="22" borderId="195" xfId="0" applyNumberFormat="1" applyFill="1" applyBorder="1"/>
    <xf numFmtId="0" fontId="3" fillId="22" borderId="196" xfId="0" applyFont="1" applyFill="1" applyBorder="1" applyAlignment="1">
      <alignment horizontal="center"/>
    </xf>
    <xf numFmtId="44" fontId="3" fillId="20" borderId="186" xfId="0" applyNumberFormat="1" applyFont="1" applyFill="1" applyBorder="1"/>
    <xf numFmtId="44" fontId="3" fillId="20" borderId="0" xfId="0" applyNumberFormat="1" applyFont="1" applyFill="1"/>
    <xf numFmtId="0" fontId="3" fillId="20" borderId="139" xfId="0" applyFont="1" applyFill="1" applyBorder="1"/>
    <xf numFmtId="44" fontId="0" fillId="28" borderId="186" xfId="0" applyNumberFormat="1" applyFill="1" applyBorder="1" applyAlignment="1">
      <alignment vertical="center"/>
    </xf>
    <xf numFmtId="44" fontId="0" fillId="28" borderId="0" xfId="0" applyNumberFormat="1" applyFill="1" applyAlignment="1">
      <alignment vertical="center"/>
    </xf>
    <xf numFmtId="0" fontId="0" fillId="28" borderId="6" xfId="0" applyFill="1" applyBorder="1" applyAlignment="1">
      <alignment vertical="center" wrapText="1"/>
    </xf>
    <xf numFmtId="44" fontId="17" fillId="21" borderId="186" xfId="0" applyNumberFormat="1" applyFont="1" applyFill="1" applyBorder="1" applyAlignment="1">
      <alignment vertical="center"/>
    </xf>
    <xf numFmtId="44" fontId="17" fillId="21" borderId="0" xfId="0" applyNumberFormat="1" applyFont="1" applyFill="1" applyAlignment="1">
      <alignment vertical="center"/>
    </xf>
    <xf numFmtId="0" fontId="17" fillId="21" borderId="6" xfId="0" applyFont="1" applyFill="1" applyBorder="1" applyAlignment="1">
      <alignment vertical="center" wrapText="1"/>
    </xf>
    <xf numFmtId="44" fontId="17" fillId="28" borderId="186" xfId="0" applyNumberFormat="1" applyFont="1" applyFill="1" applyBorder="1" applyAlignment="1">
      <alignment vertical="center"/>
    </xf>
    <xf numFmtId="44" fontId="0" fillId="28" borderId="186" xfId="0" applyNumberFormat="1" applyFill="1" applyBorder="1"/>
    <xf numFmtId="0" fontId="0" fillId="28" borderId="6" xfId="0" applyFill="1" applyBorder="1" applyAlignment="1">
      <alignment wrapText="1"/>
    </xf>
    <xf numFmtId="44" fontId="17" fillId="21" borderId="186" xfId="0" applyNumberFormat="1" applyFont="1" applyFill="1" applyBorder="1"/>
    <xf numFmtId="44" fontId="17" fillId="21" borderId="0" xfId="0" applyNumberFormat="1" applyFont="1" applyFill="1"/>
    <xf numFmtId="0" fontId="17" fillId="21" borderId="6" xfId="0" applyFont="1" applyFill="1" applyBorder="1"/>
    <xf numFmtId="0" fontId="0" fillId="20" borderId="165" xfId="0" applyFill="1" applyBorder="1" applyAlignment="1">
      <alignment horizontal="center" vertical="center"/>
    </xf>
    <xf numFmtId="0" fontId="0" fillId="20" borderId="157" xfId="0" applyFill="1" applyBorder="1" applyAlignment="1">
      <alignment horizontal="center"/>
    </xf>
    <xf numFmtId="0" fontId="3" fillId="20" borderId="139" xfId="0" applyFont="1" applyFill="1" applyBorder="1" applyAlignment="1">
      <alignment horizontal="center"/>
    </xf>
    <xf numFmtId="3" fontId="38" fillId="3" borderId="110" xfId="7" applyNumberFormat="1" applyFont="1" applyFill="1" applyBorder="1" applyAlignment="1" applyProtection="1">
      <alignment horizontal="center" vertical="center"/>
      <protection locked="0"/>
    </xf>
    <xf numFmtId="3" fontId="38" fillId="3" borderId="180" xfId="7" applyNumberFormat="1" applyFont="1" applyFill="1" applyBorder="1" applyAlignment="1" applyProtection="1">
      <alignment horizontal="center" vertical="center"/>
      <protection locked="0"/>
    </xf>
    <xf numFmtId="0" fontId="12" fillId="10" borderId="112" xfId="4" applyFont="1" applyFill="1" applyBorder="1" applyAlignment="1">
      <alignment vertical="center"/>
    </xf>
    <xf numFmtId="0" fontId="12" fillId="10" borderId="113" xfId="4" applyFont="1" applyFill="1" applyBorder="1" applyAlignment="1">
      <alignment vertical="center"/>
    </xf>
    <xf numFmtId="44" fontId="0" fillId="0" borderId="165" xfId="0" applyNumberFormat="1" applyBorder="1" applyAlignment="1">
      <alignment vertical="center"/>
    </xf>
    <xf numFmtId="44" fontId="0" fillId="0" borderId="7" xfId="0" applyNumberFormat="1" applyBorder="1" applyAlignment="1">
      <alignment vertical="center"/>
    </xf>
    <xf numFmtId="44" fontId="17" fillId="0" borderId="81" xfId="2" applyFont="1" applyBorder="1" applyAlignment="1">
      <alignment vertical="center"/>
    </xf>
    <xf numFmtId="44" fontId="17" fillId="0" borderId="195" xfId="2" applyFont="1" applyBorder="1" applyAlignment="1">
      <alignment vertical="center"/>
    </xf>
    <xf numFmtId="44" fontId="3" fillId="22" borderId="239" xfId="2" applyFont="1" applyFill="1" applyBorder="1" applyAlignment="1">
      <alignment vertical="center" wrapText="1"/>
    </xf>
    <xf numFmtId="44" fontId="0" fillId="23" borderId="186" xfId="2" applyFont="1" applyFill="1" applyBorder="1" applyAlignment="1">
      <alignment vertical="center" wrapText="1"/>
    </xf>
    <xf numFmtId="44" fontId="0" fillId="23" borderId="0" xfId="0" applyNumberFormat="1" applyFill="1" applyAlignment="1">
      <alignment vertical="center" wrapText="1"/>
    </xf>
    <xf numFmtId="44" fontId="0" fillId="23" borderId="0" xfId="2" applyFont="1" applyFill="1" applyBorder="1" applyAlignment="1">
      <alignment vertical="center" wrapText="1"/>
    </xf>
    <xf numFmtId="0" fontId="0" fillId="23" borderId="186" xfId="0" applyFill="1" applyBorder="1" applyAlignment="1">
      <alignment vertical="center" wrapText="1"/>
    </xf>
    <xf numFmtId="0" fontId="3" fillId="22" borderId="239" xfId="0" applyFont="1" applyFill="1" applyBorder="1" applyAlignment="1">
      <alignment horizontal="center" vertical="center" wrapText="1"/>
    </xf>
    <xf numFmtId="44" fontId="3" fillId="32" borderId="283" xfId="2" applyFont="1" applyFill="1" applyBorder="1" applyAlignment="1">
      <alignment vertical="center" wrapText="1"/>
    </xf>
    <xf numFmtId="44" fontId="0" fillId="32" borderId="171" xfId="0" applyNumberFormat="1" applyFill="1" applyBorder="1" applyAlignment="1">
      <alignment vertical="center" wrapText="1"/>
    </xf>
    <xf numFmtId="0" fontId="3" fillId="32" borderId="239" xfId="0" applyFont="1" applyFill="1" applyBorder="1" applyAlignment="1">
      <alignment vertical="center" wrapText="1"/>
    </xf>
    <xf numFmtId="44" fontId="0" fillId="33" borderId="186" xfId="2" applyFont="1" applyFill="1" applyBorder="1" applyAlignment="1">
      <alignment vertical="center"/>
    </xf>
    <xf numFmtId="44" fontId="0" fillId="33" borderId="0" xfId="0" applyNumberFormat="1" applyFill="1" applyAlignment="1">
      <alignment vertical="center" wrapText="1"/>
    </xf>
    <xf numFmtId="0" fontId="0" fillId="33" borderId="241" xfId="0" applyFill="1" applyBorder="1" applyAlignment="1">
      <alignment vertical="center" wrapText="1"/>
    </xf>
    <xf numFmtId="44" fontId="0" fillId="33" borderId="186" xfId="2" applyFont="1" applyFill="1" applyBorder="1" applyAlignment="1">
      <alignment horizontal="center" vertical="center"/>
    </xf>
    <xf numFmtId="0" fontId="0" fillId="33" borderId="71" xfId="0" applyFill="1" applyBorder="1" applyAlignment="1">
      <alignment vertical="center" wrapText="1"/>
    </xf>
    <xf numFmtId="44" fontId="0" fillId="32" borderId="241" xfId="2" applyFont="1" applyFill="1" applyBorder="1" applyAlignment="1">
      <alignment vertical="center" wrapText="1"/>
    </xf>
    <xf numFmtId="44" fontId="0" fillId="32" borderId="167" xfId="0" applyNumberFormat="1" applyFill="1" applyBorder="1" applyAlignment="1">
      <alignment vertical="center" wrapText="1"/>
    </xf>
    <xf numFmtId="44" fontId="0" fillId="32" borderId="219" xfId="0" applyNumberFormat="1" applyFill="1" applyBorder="1" applyAlignment="1">
      <alignment vertical="center" wrapText="1"/>
    </xf>
    <xf numFmtId="44" fontId="3" fillId="20" borderId="170" xfId="2" applyFont="1" applyFill="1" applyBorder="1" applyAlignment="1">
      <alignment vertical="center" wrapText="1"/>
    </xf>
    <xf numFmtId="44" fontId="0" fillId="20" borderId="170" xfId="0" applyNumberFormat="1" applyFill="1" applyBorder="1" applyAlignment="1">
      <alignment vertical="center" wrapText="1"/>
    </xf>
    <xf numFmtId="44" fontId="0" fillId="20" borderId="171" xfId="0" applyNumberFormat="1" applyFill="1" applyBorder="1" applyAlignment="1">
      <alignment vertical="center" wrapText="1"/>
    </xf>
    <xf numFmtId="44" fontId="0" fillId="20" borderId="284" xfId="0" applyNumberFormat="1" applyFill="1" applyBorder="1" applyAlignment="1">
      <alignment vertical="center" wrapText="1"/>
    </xf>
    <xf numFmtId="0" fontId="3" fillId="20" borderId="184" xfId="0" applyFont="1" applyFill="1" applyBorder="1" applyAlignment="1">
      <alignment horizontal="left" vertical="center" wrapText="1"/>
    </xf>
    <xf numFmtId="44" fontId="0" fillId="28" borderId="186" xfId="2" applyFont="1" applyFill="1" applyBorder="1" applyAlignment="1">
      <alignment vertical="center"/>
    </xf>
    <xf numFmtId="44" fontId="0" fillId="28" borderId="0" xfId="2" applyFont="1" applyFill="1" applyBorder="1" applyAlignment="1">
      <alignment vertical="center"/>
    </xf>
    <xf numFmtId="44" fontId="0" fillId="28" borderId="0" xfId="2" applyFont="1" applyFill="1" applyAlignment="1">
      <alignment vertical="center"/>
    </xf>
    <xf numFmtId="0" fontId="0" fillId="28" borderId="165" xfId="0" applyFill="1" applyBorder="1" applyAlignment="1">
      <alignment vertical="center" wrapText="1"/>
    </xf>
    <xf numFmtId="0" fontId="0" fillId="28" borderId="186" xfId="0" applyFill="1" applyBorder="1" applyAlignment="1">
      <alignment vertical="center" wrapText="1"/>
    </xf>
    <xf numFmtId="44" fontId="0" fillId="28" borderId="186" xfId="2" applyFont="1" applyFill="1" applyBorder="1" applyAlignment="1">
      <alignment horizontal="center" vertical="center"/>
    </xf>
    <xf numFmtId="44" fontId="0" fillId="21" borderId="186" xfId="2" applyFont="1" applyFill="1" applyBorder="1" applyAlignment="1">
      <alignment horizontal="center" vertical="center"/>
    </xf>
    <xf numFmtId="44" fontId="0" fillId="21" borderId="0" xfId="2" applyFont="1" applyFill="1" applyBorder="1" applyAlignment="1">
      <alignment vertical="center"/>
    </xf>
    <xf numFmtId="44" fontId="0" fillId="21" borderId="0" xfId="2" applyFont="1" applyFill="1" applyAlignment="1">
      <alignment vertical="center"/>
    </xf>
    <xf numFmtId="0" fontId="3" fillId="0" borderId="285" xfId="0" applyFont="1" applyBorder="1" applyAlignment="1">
      <alignment horizontal="center" vertical="center"/>
    </xf>
    <xf numFmtId="0" fontId="3" fillId="0" borderId="75" xfId="0" applyFont="1" applyBorder="1" applyAlignment="1">
      <alignment horizontal="center" vertical="center"/>
    </xf>
    <xf numFmtId="0" fontId="3" fillId="0" borderId="169" xfId="0" applyFont="1" applyBorder="1" applyAlignment="1">
      <alignment horizontal="center" vertical="center"/>
    </xf>
    <xf numFmtId="0" fontId="3" fillId="0" borderId="242" xfId="0" applyFont="1" applyBorder="1" applyAlignment="1">
      <alignment horizontal="center" vertical="center" wrapText="1"/>
    </xf>
    <xf numFmtId="0" fontId="3" fillId="0" borderId="260" xfId="0" applyFont="1" applyBorder="1" applyAlignment="1">
      <alignment horizontal="center" vertical="center"/>
    </xf>
    <xf numFmtId="43" fontId="0" fillId="0" borderId="81" xfId="1" applyFont="1" applyBorder="1"/>
    <xf numFmtId="44" fontId="17" fillId="16" borderId="165" xfId="0" applyNumberFormat="1" applyFont="1" applyFill="1" applyBorder="1"/>
    <xf numFmtId="44" fontId="23" fillId="16" borderId="76" xfId="0" applyNumberFormat="1" applyFont="1" applyFill="1" applyBorder="1"/>
    <xf numFmtId="44" fontId="23" fillId="16" borderId="157" xfId="0" applyNumberFormat="1" applyFont="1" applyFill="1" applyBorder="1"/>
    <xf numFmtId="0" fontId="23" fillId="16" borderId="139" xfId="0" applyFont="1" applyFill="1" applyBorder="1"/>
    <xf numFmtId="44" fontId="65" fillId="10" borderId="239" xfId="0" applyNumberFormat="1" applyFont="1" applyFill="1" applyBorder="1"/>
    <xf numFmtId="44" fontId="3" fillId="10" borderId="170" xfId="0" applyNumberFormat="1" applyFont="1" applyFill="1" applyBorder="1"/>
    <xf numFmtId="44" fontId="3" fillId="10" borderId="171" xfId="0" applyNumberFormat="1" applyFont="1" applyFill="1" applyBorder="1"/>
    <xf numFmtId="44" fontId="3" fillId="10" borderId="98" xfId="0" applyNumberFormat="1" applyFont="1" applyFill="1" applyBorder="1"/>
    <xf numFmtId="44" fontId="3" fillId="10" borderId="244" xfId="0" applyNumberFormat="1" applyFont="1" applyFill="1" applyBorder="1"/>
    <xf numFmtId="0" fontId="3" fillId="10" borderId="284" xfId="0" applyFont="1" applyFill="1" applyBorder="1"/>
    <xf numFmtId="44" fontId="65" fillId="22" borderId="239" xfId="2" applyFont="1" applyFill="1" applyBorder="1" applyAlignment="1">
      <alignment vertical="center"/>
    </xf>
    <xf numFmtId="44" fontId="3" fillId="22" borderId="258" xfId="2" applyFont="1" applyFill="1" applyBorder="1" applyAlignment="1">
      <alignment vertical="center"/>
    </xf>
    <xf numFmtId="44" fontId="3" fillId="22" borderId="180" xfId="2" applyFont="1" applyFill="1" applyBorder="1" applyAlignment="1">
      <alignment vertical="center"/>
    </xf>
    <xf numFmtId="44" fontId="3" fillId="22" borderId="111" xfId="2" applyFont="1" applyFill="1" applyBorder="1" applyAlignment="1">
      <alignment vertical="center"/>
    </xf>
    <xf numFmtId="44" fontId="3" fillId="22" borderId="245" xfId="2" applyFont="1" applyFill="1" applyBorder="1" applyAlignment="1">
      <alignment vertical="center"/>
    </xf>
    <xf numFmtId="0" fontId="3" fillId="22" borderId="219" xfId="0" applyFont="1" applyFill="1" applyBorder="1"/>
    <xf numFmtId="44" fontId="0" fillId="19" borderId="186" xfId="2" applyFont="1" applyFill="1" applyBorder="1" applyAlignment="1">
      <alignment vertical="center"/>
    </xf>
    <xf numFmtId="44" fontId="0" fillId="19" borderId="158" xfId="2" applyFont="1" applyFill="1" applyBorder="1" applyAlignment="1">
      <alignment vertical="center"/>
    </xf>
    <xf numFmtId="44" fontId="0" fillId="19" borderId="83" xfId="2" applyFont="1" applyFill="1" applyBorder="1" applyAlignment="1">
      <alignment vertical="center"/>
    </xf>
    <xf numFmtId="44" fontId="0" fillId="19" borderId="246" xfId="2" applyFont="1" applyFill="1" applyBorder="1" applyAlignment="1">
      <alignment vertical="center"/>
    </xf>
    <xf numFmtId="44" fontId="0" fillId="19" borderId="247" xfId="2" applyFont="1" applyFill="1" applyBorder="1" applyAlignment="1">
      <alignment vertical="center"/>
    </xf>
    <xf numFmtId="0" fontId="0" fillId="19" borderId="259" xfId="0" applyFill="1" applyBorder="1"/>
    <xf numFmtId="0" fontId="0" fillId="19" borderId="257" xfId="0" applyFill="1" applyBorder="1"/>
    <xf numFmtId="44" fontId="65" fillId="20" borderId="239" xfId="2" applyFont="1" applyFill="1" applyBorder="1"/>
    <xf numFmtId="44" fontId="3" fillId="20" borderId="158" xfId="2" applyFont="1" applyFill="1" applyBorder="1" applyAlignment="1">
      <alignment vertical="center"/>
    </xf>
    <xf numFmtId="44" fontId="3" fillId="20" borderId="83" xfId="2" applyFont="1" applyFill="1" applyBorder="1" applyAlignment="1">
      <alignment vertical="center"/>
    </xf>
    <xf numFmtId="44" fontId="3" fillId="20" borderId="246" xfId="2" applyFont="1" applyFill="1" applyBorder="1" applyAlignment="1">
      <alignment vertical="center"/>
    </xf>
    <xf numFmtId="44" fontId="3" fillId="20" borderId="247" xfId="2" applyFont="1" applyFill="1" applyBorder="1"/>
    <xf numFmtId="0" fontId="3" fillId="20" borderId="6" xfId="0" applyFont="1" applyFill="1" applyBorder="1"/>
    <xf numFmtId="44" fontId="0" fillId="28" borderId="186" xfId="2" applyFont="1" applyFill="1" applyBorder="1"/>
    <xf numFmtId="44" fontId="0" fillId="28" borderId="158" xfId="0" applyNumberFormat="1" applyFill="1" applyBorder="1"/>
    <xf numFmtId="44" fontId="0" fillId="28" borderId="83" xfId="0" applyNumberFormat="1" applyFill="1" applyBorder="1"/>
    <xf numFmtId="44" fontId="0" fillId="28" borderId="246" xfId="0" applyNumberFormat="1" applyFill="1" applyBorder="1"/>
    <xf numFmtId="44" fontId="0" fillId="28" borderId="247" xfId="2" applyFont="1" applyFill="1" applyBorder="1"/>
    <xf numFmtId="0" fontId="0" fillId="28" borderId="259" xfId="0" applyFill="1" applyBorder="1"/>
    <xf numFmtId="0" fontId="0" fillId="28" borderId="159" xfId="0" applyFill="1" applyBorder="1"/>
    <xf numFmtId="44" fontId="0" fillId="28" borderId="7" xfId="2" applyFont="1" applyFill="1" applyBorder="1"/>
    <xf numFmtId="44" fontId="0" fillId="28" borderId="243" xfId="0" applyNumberFormat="1" applyFill="1" applyBorder="1"/>
    <xf numFmtId="44" fontId="0" fillId="28" borderId="181" xfId="0" applyNumberFormat="1" applyFill="1" applyBorder="1"/>
    <xf numFmtId="44" fontId="0" fillId="28" borderId="113" xfId="0" applyNumberFormat="1" applyFill="1" applyBorder="1"/>
    <xf numFmtId="44" fontId="0" fillId="28" borderId="248" xfId="2" applyFont="1" applyFill="1" applyBorder="1"/>
    <xf numFmtId="0" fontId="0" fillId="28" borderId="257" xfId="0" applyFill="1" applyBorder="1"/>
    <xf numFmtId="0" fontId="0" fillId="0" borderId="6" xfId="0" applyBorder="1" applyAlignment="1">
      <alignment horizontal="center" vertical="center"/>
    </xf>
    <xf numFmtId="0" fontId="0" fillId="0" borderId="286" xfId="0" applyBorder="1" applyAlignment="1">
      <alignment horizontal="center"/>
    </xf>
    <xf numFmtId="0" fontId="71" fillId="0" borderId="91" xfId="0" applyFont="1" applyBorder="1" applyAlignment="1">
      <alignment vertical="center"/>
    </xf>
    <xf numFmtId="44" fontId="72" fillId="16" borderId="165" xfId="0" applyNumberFormat="1" applyFont="1" applyFill="1" applyBorder="1" applyAlignment="1">
      <alignment vertical="center" wrapText="1"/>
    </xf>
    <xf numFmtId="44" fontId="23" fillId="16" borderId="76" xfId="0" applyNumberFormat="1" applyFont="1" applyFill="1" applyBorder="1" applyAlignment="1">
      <alignment vertical="center" wrapText="1"/>
    </xf>
    <xf numFmtId="44" fontId="23" fillId="16" borderId="157" xfId="0" applyNumberFormat="1" applyFont="1" applyFill="1" applyBorder="1" applyAlignment="1">
      <alignment vertical="center" wrapText="1"/>
    </xf>
    <xf numFmtId="0" fontId="23" fillId="16" borderId="287" xfId="0" applyFont="1" applyFill="1" applyBorder="1" applyAlignment="1">
      <alignment vertical="center" wrapText="1"/>
    </xf>
    <xf numFmtId="44" fontId="65" fillId="10" borderId="239" xfId="0" applyNumberFormat="1" applyFont="1" applyFill="1" applyBorder="1" applyAlignment="1">
      <alignment vertical="center" wrapText="1"/>
    </xf>
    <xf numFmtId="44" fontId="3" fillId="10" borderId="170" xfId="0" applyNumberFormat="1" applyFont="1" applyFill="1" applyBorder="1" applyAlignment="1">
      <alignment vertical="center" wrapText="1"/>
    </xf>
    <xf numFmtId="44" fontId="3" fillId="10" borderId="171" xfId="0" applyNumberFormat="1" applyFont="1" applyFill="1" applyBorder="1" applyAlignment="1">
      <alignment vertical="center" wrapText="1"/>
    </xf>
    <xf numFmtId="0" fontId="3" fillId="10" borderId="288" xfId="0" applyFont="1" applyFill="1" applyBorder="1" applyAlignment="1">
      <alignment vertical="center" wrapText="1"/>
    </xf>
    <xf numFmtId="0" fontId="3" fillId="22" borderId="289" xfId="0" applyFont="1" applyFill="1" applyBorder="1" applyAlignment="1">
      <alignment vertical="center" wrapText="1"/>
    </xf>
    <xf numFmtId="44" fontId="0" fillId="19" borderId="241" xfId="2" applyFont="1" applyFill="1" applyBorder="1" applyAlignment="1">
      <alignment vertical="center"/>
    </xf>
    <xf numFmtId="44" fontId="0" fillId="19" borderId="170" xfId="2" applyFont="1" applyFill="1" applyBorder="1" applyAlignment="1">
      <alignment vertical="center"/>
    </xf>
    <xf numFmtId="44" fontId="0" fillId="19" borderId="171" xfId="2" applyFont="1" applyFill="1" applyBorder="1" applyAlignment="1">
      <alignment vertical="center"/>
    </xf>
    <xf numFmtId="44" fontId="0" fillId="19" borderId="98" xfId="2" applyFont="1" applyFill="1" applyBorder="1" applyAlignment="1">
      <alignment vertical="center"/>
    </xf>
    <xf numFmtId="0" fontId="0" fillId="19" borderId="290" xfId="0" applyFill="1" applyBorder="1"/>
    <xf numFmtId="44" fontId="0" fillId="19" borderId="264" xfId="2" applyFont="1" applyFill="1" applyBorder="1" applyAlignment="1">
      <alignment vertical="center"/>
    </xf>
    <xf numFmtId="44" fontId="0" fillId="19" borderId="232" xfId="2" applyFont="1" applyFill="1" applyBorder="1" applyAlignment="1">
      <alignment vertical="center"/>
    </xf>
    <xf numFmtId="44" fontId="0" fillId="19" borderId="182" xfId="2" applyFont="1" applyFill="1" applyBorder="1" applyAlignment="1">
      <alignment vertical="center"/>
    </xf>
    <xf numFmtId="44" fontId="0" fillId="19" borderId="291" xfId="2" applyFont="1" applyFill="1" applyBorder="1" applyAlignment="1">
      <alignment vertical="center"/>
    </xf>
    <xf numFmtId="0" fontId="0" fillId="19" borderId="292" xfId="0" applyFill="1" applyBorder="1"/>
    <xf numFmtId="44" fontId="0" fillId="19" borderId="178" xfId="2" applyFont="1" applyFill="1" applyBorder="1" applyAlignment="1">
      <alignment vertical="center"/>
    </xf>
    <xf numFmtId="44" fontId="0" fillId="19" borderId="243" xfId="2" applyFont="1" applyFill="1" applyBorder="1" applyAlignment="1">
      <alignment vertical="center"/>
    </xf>
    <xf numFmtId="44" fontId="0" fillId="19" borderId="189" xfId="2" applyFont="1" applyFill="1" applyBorder="1" applyAlignment="1">
      <alignment vertical="center"/>
    </xf>
    <xf numFmtId="44" fontId="0" fillId="19" borderId="293" xfId="2" applyFont="1" applyFill="1" applyBorder="1" applyAlignment="1">
      <alignment vertical="center"/>
    </xf>
    <xf numFmtId="0" fontId="0" fillId="19" borderId="294" xfId="0" applyFill="1" applyBorder="1"/>
    <xf numFmtId="0" fontId="3" fillId="0" borderId="170" xfId="0" applyFont="1" applyBorder="1" applyAlignment="1">
      <alignment horizontal="center" vertical="center"/>
    </xf>
    <xf numFmtId="0" fontId="3" fillId="0" borderId="284" xfId="0" applyFont="1" applyBorder="1" applyAlignment="1">
      <alignment horizontal="center" vertical="center"/>
    </xf>
    <xf numFmtId="44" fontId="65" fillId="20" borderId="184" xfId="2" applyFont="1" applyFill="1" applyBorder="1" applyAlignment="1">
      <alignment vertical="center" wrapText="1"/>
    </xf>
    <xf numFmtId="44" fontId="3" fillId="20" borderId="295" xfId="2" applyFont="1" applyFill="1" applyBorder="1" applyAlignment="1">
      <alignment vertical="center" wrapText="1"/>
    </xf>
    <xf numFmtId="44" fontId="3" fillId="20" borderId="296" xfId="2" applyFont="1" applyFill="1" applyBorder="1" applyAlignment="1">
      <alignment vertical="center" wrapText="1"/>
    </xf>
    <xf numFmtId="44" fontId="3" fillId="20" borderId="297" xfId="2" applyFont="1" applyFill="1" applyBorder="1" applyAlignment="1">
      <alignment vertical="center" wrapText="1"/>
    </xf>
    <xf numFmtId="0" fontId="3" fillId="20" borderId="289" xfId="0" applyFont="1" applyFill="1" applyBorder="1" applyAlignment="1">
      <alignment vertical="center" wrapText="1"/>
    </xf>
    <xf numFmtId="44" fontId="0" fillId="28" borderId="264" xfId="2" applyFont="1" applyFill="1" applyBorder="1" applyAlignment="1">
      <alignment vertical="center" wrapText="1"/>
    </xf>
    <xf numFmtId="44" fontId="0" fillId="28" borderId="232" xfId="0" applyNumberFormat="1" applyFill="1" applyBorder="1" applyAlignment="1">
      <alignment vertical="center" wrapText="1"/>
    </xf>
    <xf numFmtId="44" fontId="0" fillId="28" borderId="182" xfId="0" applyNumberFormat="1" applyFill="1" applyBorder="1" applyAlignment="1">
      <alignment vertical="center" wrapText="1"/>
    </xf>
    <xf numFmtId="44" fontId="0" fillId="28" borderId="291" xfId="0" applyNumberFormat="1" applyFill="1" applyBorder="1" applyAlignment="1">
      <alignment vertical="center" wrapText="1"/>
    </xf>
    <xf numFmtId="0" fontId="0" fillId="28" borderId="298" xfId="0" applyFill="1" applyBorder="1" applyAlignment="1">
      <alignment vertical="center" wrapText="1"/>
    </xf>
    <xf numFmtId="44" fontId="0" fillId="28" borderId="188" xfId="2" applyFont="1" applyFill="1" applyBorder="1" applyAlignment="1">
      <alignment vertical="center" wrapText="1"/>
    </xf>
    <xf numFmtId="44" fontId="0" fillId="28" borderId="243" xfId="0" applyNumberFormat="1" applyFill="1" applyBorder="1" applyAlignment="1">
      <alignment vertical="center" wrapText="1"/>
    </xf>
    <xf numFmtId="44" fontId="0" fillId="28" borderId="181" xfId="0" applyNumberFormat="1" applyFill="1" applyBorder="1" applyAlignment="1">
      <alignment vertical="center" wrapText="1"/>
    </xf>
    <xf numFmtId="44" fontId="0" fillId="28" borderId="113" xfId="0" applyNumberFormat="1" applyFill="1" applyBorder="1" applyAlignment="1">
      <alignment vertical="center" wrapText="1"/>
    </xf>
    <xf numFmtId="0" fontId="0" fillId="28" borderId="299" xfId="0" applyFill="1" applyBorder="1" applyAlignment="1">
      <alignment vertical="center" wrapText="1"/>
    </xf>
    <xf numFmtId="44" fontId="0" fillId="28" borderId="258" xfId="0" applyNumberFormat="1" applyFill="1" applyBorder="1" applyAlignment="1">
      <alignment vertical="center" wrapText="1"/>
    </xf>
    <xf numFmtId="44" fontId="0" fillId="28" borderId="83" xfId="0" applyNumberFormat="1" applyFill="1" applyBorder="1" applyAlignment="1">
      <alignment vertical="center" wrapText="1"/>
    </xf>
    <xf numFmtId="44" fontId="0" fillId="28" borderId="246" xfId="0" applyNumberFormat="1" applyFill="1" applyBorder="1" applyAlignment="1">
      <alignment vertical="center" wrapText="1"/>
    </xf>
    <xf numFmtId="0" fontId="0" fillId="28" borderId="292" xfId="0" applyFill="1" applyBorder="1" applyAlignment="1">
      <alignment vertical="center" wrapText="1"/>
    </xf>
    <xf numFmtId="44" fontId="0" fillId="28" borderId="193" xfId="2" applyFont="1" applyFill="1" applyBorder="1" applyAlignment="1">
      <alignment vertical="center" wrapText="1"/>
    </xf>
    <xf numFmtId="44" fontId="0" fillId="28" borderId="158" xfId="0" applyNumberFormat="1" applyFill="1" applyBorder="1" applyAlignment="1">
      <alignment vertical="center" wrapText="1"/>
    </xf>
    <xf numFmtId="0" fontId="0" fillId="28" borderId="300" xfId="0" applyFill="1" applyBorder="1" applyAlignment="1">
      <alignment vertical="center" wrapText="1"/>
    </xf>
    <xf numFmtId="44" fontId="0" fillId="28" borderId="178" xfId="2" applyFont="1" applyFill="1" applyBorder="1" applyAlignment="1">
      <alignment vertical="center" wrapText="1"/>
    </xf>
    <xf numFmtId="0" fontId="0" fillId="28" borderId="294" xfId="0" applyFill="1" applyBorder="1" applyAlignment="1">
      <alignment vertical="center" wrapText="1"/>
    </xf>
    <xf numFmtId="0" fontId="3" fillId="0" borderId="4" xfId="0" applyFont="1" applyBorder="1" applyAlignment="1">
      <alignment horizontal="center" vertical="center"/>
    </xf>
    <xf numFmtId="0" fontId="17" fillId="0" borderId="255" xfId="0" applyFont="1" applyBorder="1" applyAlignment="1">
      <alignment vertical="center" wrapText="1"/>
    </xf>
    <xf numFmtId="0" fontId="3" fillId="0" borderId="257" xfId="0" applyFont="1" applyBorder="1" applyAlignment="1">
      <alignment vertical="center" wrapText="1"/>
    </xf>
    <xf numFmtId="0" fontId="3" fillId="0" borderId="259" xfId="0" applyFont="1" applyBorder="1" applyAlignment="1">
      <alignment vertical="center" wrapText="1"/>
    </xf>
    <xf numFmtId="0" fontId="0" fillId="0" borderId="257" xfId="0" applyBorder="1" applyAlignment="1">
      <alignment vertical="center" wrapText="1"/>
    </xf>
    <xf numFmtId="44" fontId="0" fillId="0" borderId="260" xfId="2" applyFont="1" applyBorder="1" applyAlignment="1">
      <alignment vertical="center"/>
    </xf>
    <xf numFmtId="0" fontId="0" fillId="0" borderId="261" xfId="0" applyBorder="1" applyAlignment="1">
      <alignment vertical="center" wrapText="1"/>
    </xf>
    <xf numFmtId="44" fontId="65" fillId="10" borderId="80" xfId="0" applyNumberFormat="1" applyFont="1" applyFill="1" applyBorder="1" applyAlignment="1">
      <alignment vertical="center" wrapText="1"/>
    </xf>
    <xf numFmtId="44" fontId="3" fillId="10" borderId="81" xfId="0" applyNumberFormat="1" applyFont="1" applyFill="1" applyBorder="1" applyAlignment="1">
      <alignment vertical="center" wrapText="1"/>
    </xf>
    <xf numFmtId="44" fontId="3" fillId="10" borderId="195" xfId="0" applyNumberFormat="1" applyFont="1" applyFill="1" applyBorder="1" applyAlignment="1">
      <alignment vertical="center" wrapText="1"/>
    </xf>
    <xf numFmtId="0" fontId="3" fillId="10" borderId="262" xfId="0" applyFont="1" applyFill="1" applyBorder="1" applyAlignment="1">
      <alignment vertical="center" wrapText="1"/>
    </xf>
    <xf numFmtId="0" fontId="0" fillId="19" borderId="290" xfId="0" applyFill="1" applyBorder="1" applyAlignment="1">
      <alignment vertical="center" wrapText="1"/>
    </xf>
    <xf numFmtId="0" fontId="0" fillId="19" borderId="292" xfId="0" applyFill="1" applyBorder="1" applyAlignment="1">
      <alignment vertical="center" wrapText="1"/>
    </xf>
    <xf numFmtId="0" fontId="0" fillId="19" borderId="294" xfId="0" applyFill="1" applyBorder="1" applyAlignment="1">
      <alignment vertical="center" wrapText="1"/>
    </xf>
    <xf numFmtId="44" fontId="65" fillId="20" borderId="184" xfId="2" applyFont="1" applyFill="1" applyBorder="1"/>
    <xf numFmtId="44" fontId="3" fillId="20" borderId="295" xfId="2" applyFont="1" applyFill="1" applyBorder="1" applyAlignment="1">
      <alignment vertical="center"/>
    </xf>
    <xf numFmtId="44" fontId="3" fillId="20" borderId="296" xfId="2" applyFont="1" applyFill="1" applyBorder="1" applyAlignment="1">
      <alignment vertical="center"/>
    </xf>
    <xf numFmtId="44" fontId="3" fillId="20" borderId="297" xfId="2" applyFont="1" applyFill="1" applyBorder="1" applyAlignment="1">
      <alignment vertical="center"/>
    </xf>
    <xf numFmtId="44" fontId="0" fillId="28" borderId="264" xfId="2" applyFont="1" applyFill="1" applyBorder="1"/>
    <xf numFmtId="44" fontId="0" fillId="28" borderId="232" xfId="0" applyNumberFormat="1" applyFill="1" applyBorder="1"/>
    <xf numFmtId="44" fontId="0" fillId="28" borderId="291" xfId="0" applyNumberFormat="1" applyFill="1" applyBorder="1"/>
    <xf numFmtId="44" fontId="0" fillId="28" borderId="188" xfId="2" applyFont="1" applyFill="1" applyBorder="1"/>
    <xf numFmtId="44" fontId="0" fillId="28" borderId="258" xfId="0" applyNumberFormat="1" applyFill="1" applyBorder="1"/>
    <xf numFmtId="44" fontId="0" fillId="28" borderId="193" xfId="2" applyFont="1" applyFill="1" applyBorder="1"/>
    <xf numFmtId="44" fontId="0" fillId="28" borderId="178" xfId="2" applyFont="1" applyFill="1" applyBorder="1"/>
    <xf numFmtId="10" fontId="25" fillId="0" borderId="97" xfId="3" applyNumberFormat="1" applyFont="1" applyBorder="1" applyAlignment="1">
      <alignment horizontal="center" vertical="center"/>
    </xf>
    <xf numFmtId="0" fontId="25" fillId="0" borderId="98" xfId="0" applyFont="1" applyBorder="1" applyAlignment="1">
      <alignment vertical="center" wrapText="1"/>
    </xf>
    <xf numFmtId="9" fontId="3" fillId="0" borderId="221" xfId="3" applyFont="1" applyBorder="1"/>
    <xf numFmtId="9" fontId="65" fillId="0" borderId="177" xfId="3" applyFont="1" applyBorder="1" applyAlignment="1">
      <alignment horizontal="center"/>
    </xf>
    <xf numFmtId="44" fontId="65" fillId="0" borderId="168" xfId="0" applyNumberFormat="1" applyFont="1" applyBorder="1"/>
    <xf numFmtId="0" fontId="0" fillId="0" borderId="301" xfId="0" applyBorder="1"/>
    <xf numFmtId="9" fontId="0" fillId="0" borderId="110" xfId="3" applyFont="1" applyBorder="1"/>
    <xf numFmtId="9" fontId="0" fillId="0" borderId="253" xfId="3" applyFont="1" applyBorder="1" applyAlignment="1">
      <alignment horizontal="center"/>
    </xf>
    <xf numFmtId="44" fontId="0" fillId="0" borderId="111" xfId="0" applyNumberFormat="1" applyBorder="1"/>
    <xf numFmtId="0" fontId="3" fillId="0" borderId="174" xfId="0" applyFont="1" applyBorder="1" applyAlignment="1">
      <alignment vertical="center" wrapText="1"/>
    </xf>
    <xf numFmtId="9" fontId="0" fillId="0" borderId="112" xfId="3" applyFont="1" applyBorder="1"/>
    <xf numFmtId="9" fontId="0" fillId="0" borderId="109" xfId="3" applyFont="1" applyBorder="1" applyAlignment="1">
      <alignment horizontal="center" vertical="center"/>
    </xf>
    <xf numFmtId="44" fontId="0" fillId="0" borderId="113" xfId="0" applyNumberFormat="1" applyBorder="1" applyAlignment="1">
      <alignment vertical="center"/>
    </xf>
    <xf numFmtId="0" fontId="3" fillId="0" borderId="172" xfId="0" applyFont="1" applyBorder="1" applyAlignment="1">
      <alignment vertical="center" wrapText="1"/>
    </xf>
    <xf numFmtId="0" fontId="3" fillId="0" borderId="176" xfId="0" applyFont="1" applyBorder="1" applyAlignment="1">
      <alignment horizontal="center" vertical="center" wrapText="1"/>
    </xf>
    <xf numFmtId="0" fontId="3" fillId="0" borderId="174" xfId="0" applyFont="1" applyBorder="1" applyAlignment="1">
      <alignment horizontal="center" vertical="center"/>
    </xf>
    <xf numFmtId="0" fontId="3" fillId="0" borderId="97" xfId="0" applyFont="1" applyBorder="1" applyAlignment="1">
      <alignment horizontal="center" vertical="center"/>
    </xf>
    <xf numFmtId="9" fontId="3" fillId="0" borderId="177" xfId="3" applyFont="1" applyBorder="1" applyAlignment="1">
      <alignment horizontal="center" vertical="center"/>
    </xf>
    <xf numFmtId="44" fontId="0" fillId="0" borderId="168" xfId="2" applyFont="1" applyBorder="1" applyAlignment="1">
      <alignment vertical="center"/>
    </xf>
    <xf numFmtId="44" fontId="0" fillId="0" borderId="164" xfId="2" applyFont="1" applyBorder="1" applyAlignment="1">
      <alignment vertical="center"/>
    </xf>
    <xf numFmtId="9" fontId="0" fillId="0" borderId="253" xfId="3" applyFont="1" applyBorder="1" applyAlignment="1">
      <alignment horizontal="center" vertical="center"/>
    </xf>
    <xf numFmtId="44" fontId="0" fillId="0" borderId="251" xfId="2" applyFont="1" applyBorder="1" applyAlignment="1">
      <alignment vertical="center"/>
    </xf>
    <xf numFmtId="0" fontId="0" fillId="0" borderId="253" xfId="0" applyBorder="1" applyAlignment="1">
      <alignment vertical="center" wrapText="1"/>
    </xf>
    <xf numFmtId="9" fontId="1" fillId="0" borderId="112" xfId="3" applyFont="1" applyBorder="1" applyAlignment="1">
      <alignment vertical="center"/>
    </xf>
    <xf numFmtId="9" fontId="3" fillId="0" borderId="97" xfId="3" applyFont="1" applyBorder="1" applyAlignment="1">
      <alignment horizontal="center" vertical="center"/>
    </xf>
    <xf numFmtId="9" fontId="0" fillId="0" borderId="0" xfId="0" applyNumberFormat="1" applyAlignment="1">
      <alignment horizontal="center" vertical="center"/>
    </xf>
    <xf numFmtId="9" fontId="0" fillId="0" borderId="0" xfId="3" applyFont="1" applyAlignment="1">
      <alignment horizontal="center" vertical="center"/>
    </xf>
    <xf numFmtId="9" fontId="0" fillId="0" borderId="97" xfId="3" applyFont="1" applyBorder="1" applyAlignment="1">
      <alignment horizontal="center" vertical="center"/>
    </xf>
    <xf numFmtId="9" fontId="0" fillId="0" borderId="0" xfId="3" applyFont="1" applyFill="1" applyBorder="1" applyAlignment="1">
      <alignment horizontal="center" vertical="center"/>
    </xf>
    <xf numFmtId="9" fontId="0" fillId="0" borderId="222" xfId="3" applyFont="1" applyBorder="1" applyAlignment="1">
      <alignment horizontal="center" vertical="center"/>
    </xf>
    <xf numFmtId="0" fontId="3" fillId="0" borderId="98" xfId="0" applyFont="1" applyBorder="1" applyAlignment="1">
      <alignment horizontal="center" vertical="center"/>
    </xf>
    <xf numFmtId="170" fontId="65" fillId="16" borderId="80" xfId="3" applyNumberFormat="1" applyFont="1" applyFill="1" applyBorder="1" applyAlignment="1">
      <alignment vertical="center" wrapText="1"/>
    </xf>
    <xf numFmtId="170" fontId="3" fillId="16" borderId="81" xfId="3" applyNumberFormat="1" applyFont="1" applyFill="1" applyBorder="1" applyAlignment="1">
      <alignment vertical="center" wrapText="1"/>
    </xf>
    <xf numFmtId="170" fontId="3" fillId="16" borderId="195" xfId="3" applyNumberFormat="1" applyFont="1" applyFill="1" applyBorder="1" applyAlignment="1">
      <alignment vertical="center" wrapText="1"/>
    </xf>
    <xf numFmtId="170" fontId="3" fillId="16" borderId="262" xfId="3" applyNumberFormat="1" applyFont="1" applyFill="1" applyBorder="1" applyAlignment="1">
      <alignment vertical="center" wrapText="1"/>
    </xf>
    <xf numFmtId="44" fontId="65" fillId="22" borderId="239" xfId="2" applyFont="1" applyFill="1" applyBorder="1" applyAlignment="1">
      <alignment vertical="center" wrapText="1"/>
    </xf>
    <xf numFmtId="44" fontId="3" fillId="22" borderId="179" xfId="2" applyFont="1" applyFill="1" applyBorder="1" applyAlignment="1">
      <alignment vertical="center" wrapText="1"/>
    </xf>
    <xf numFmtId="44" fontId="3" fillId="22" borderId="154" xfId="2" applyFont="1" applyFill="1" applyBorder="1" applyAlignment="1">
      <alignment vertical="center" wrapText="1"/>
    </xf>
    <xf numFmtId="44" fontId="3" fillId="22" borderId="302" xfId="2" applyFont="1" applyFill="1" applyBorder="1" applyAlignment="1">
      <alignment vertical="center" wrapText="1"/>
    </xf>
    <xf numFmtId="44" fontId="0" fillId="19" borderId="241" xfId="2" applyFont="1" applyFill="1" applyBorder="1" applyAlignment="1">
      <alignment vertical="center" wrapText="1"/>
    </xf>
    <xf numFmtId="44" fontId="0" fillId="19" borderId="170" xfId="2" applyFont="1" applyFill="1" applyBorder="1" applyAlignment="1">
      <alignment vertical="center" wrapText="1"/>
    </xf>
    <xf numFmtId="44" fontId="0" fillId="19" borderId="171" xfId="2" applyFont="1" applyFill="1" applyBorder="1" applyAlignment="1">
      <alignment vertical="center" wrapText="1"/>
    </xf>
    <xf numFmtId="44" fontId="0" fillId="19" borderId="98" xfId="2" applyFont="1" applyFill="1" applyBorder="1" applyAlignment="1">
      <alignment vertical="center" wrapText="1"/>
    </xf>
    <xf numFmtId="44" fontId="0" fillId="19" borderId="264" xfId="2" applyFont="1" applyFill="1" applyBorder="1" applyAlignment="1">
      <alignment vertical="center" wrapText="1"/>
    </xf>
    <xf numFmtId="44" fontId="0" fillId="19" borderId="232" xfId="2" applyFont="1" applyFill="1" applyBorder="1" applyAlignment="1">
      <alignment vertical="center" wrapText="1"/>
    </xf>
    <xf numFmtId="44" fontId="0" fillId="19" borderId="182" xfId="2" applyFont="1" applyFill="1" applyBorder="1" applyAlignment="1">
      <alignment vertical="center" wrapText="1"/>
    </xf>
    <xf numFmtId="44" fontId="0" fillId="19" borderId="291" xfId="2" applyFont="1" applyFill="1" applyBorder="1" applyAlignment="1">
      <alignment vertical="center" wrapText="1"/>
    </xf>
    <xf numFmtId="44" fontId="0" fillId="19" borderId="178" xfId="2" applyFont="1" applyFill="1" applyBorder="1" applyAlignment="1">
      <alignment vertical="center" wrapText="1"/>
    </xf>
    <xf numFmtId="44" fontId="0" fillId="19" borderId="155" xfId="2" applyFont="1" applyFill="1" applyBorder="1" applyAlignment="1">
      <alignment vertical="center" wrapText="1"/>
    </xf>
    <xf numFmtId="44" fontId="0" fillId="19" borderId="303" xfId="2" applyFont="1" applyFill="1" applyBorder="1" applyAlignment="1">
      <alignment vertical="center" wrapText="1"/>
    </xf>
    <xf numFmtId="44" fontId="0" fillId="19" borderId="304" xfId="2" applyFont="1" applyFill="1" applyBorder="1" applyAlignment="1">
      <alignment vertical="center" wrapText="1"/>
    </xf>
    <xf numFmtId="0" fontId="0" fillId="28" borderId="184" xfId="0" applyFill="1" applyBorder="1" applyAlignment="1">
      <alignment vertical="center" wrapText="1"/>
    </xf>
    <xf numFmtId="0" fontId="3" fillId="20" borderId="290" xfId="0" applyFont="1" applyFill="1" applyBorder="1" applyAlignment="1">
      <alignment vertical="center" wrapText="1"/>
    </xf>
    <xf numFmtId="0" fontId="0" fillId="0" borderId="186" xfId="0" applyBorder="1" applyAlignment="1">
      <alignment vertical="center" wrapText="1"/>
    </xf>
    <xf numFmtId="0" fontId="0" fillId="0" borderId="75" xfId="0" applyBorder="1" applyAlignment="1">
      <alignment vertical="center" wrapText="1"/>
    </xf>
    <xf numFmtId="0" fontId="3" fillId="0" borderId="285" xfId="0" applyFont="1" applyBorder="1" applyAlignment="1">
      <alignment horizontal="center" vertical="center" wrapText="1"/>
    </xf>
    <xf numFmtId="0" fontId="3" fillId="0" borderId="260" xfId="0" applyFont="1" applyBorder="1" applyAlignment="1">
      <alignment horizontal="center" vertical="center" wrapText="1"/>
    </xf>
    <xf numFmtId="0" fontId="3" fillId="0" borderId="266" xfId="0" applyFont="1" applyBorder="1" applyAlignment="1">
      <alignment horizontal="center" vertical="center" wrapText="1"/>
    </xf>
    <xf numFmtId="0" fontId="3" fillId="0" borderId="169" xfId="0" applyFont="1" applyBorder="1" applyAlignment="1">
      <alignment horizontal="center" vertical="center" wrapText="1"/>
    </xf>
    <xf numFmtId="0" fontId="73" fillId="0" borderId="0" xfId="0" applyFont="1" applyAlignment="1">
      <alignment vertical="center" wrapText="1"/>
    </xf>
    <xf numFmtId="0" fontId="73" fillId="0" borderId="0" xfId="0" applyFont="1"/>
    <xf numFmtId="10" fontId="27" fillId="3" borderId="1" xfId="0" applyNumberFormat="1" applyFont="1" applyFill="1" applyBorder="1" applyAlignment="1">
      <alignment vertical="center"/>
    </xf>
    <xf numFmtId="0" fontId="27" fillId="3" borderId="1" xfId="0" applyFont="1" applyFill="1" applyBorder="1" applyAlignment="1">
      <alignment vertical="center"/>
    </xf>
    <xf numFmtId="44" fontId="27" fillId="3" borderId="22" xfId="2" applyFont="1" applyFill="1" applyBorder="1" applyAlignment="1">
      <alignment vertical="center"/>
    </xf>
    <xf numFmtId="44" fontId="0" fillId="0" borderId="0" xfId="2" applyFont="1" applyFill="1" applyBorder="1" applyAlignment="1">
      <alignment vertical="center"/>
    </xf>
    <xf numFmtId="0" fontId="0" fillId="3" borderId="40" xfId="0" applyFill="1" applyBorder="1" applyAlignment="1">
      <alignment vertical="center"/>
    </xf>
    <xf numFmtId="44" fontId="27" fillId="3" borderId="24" xfId="2" applyFont="1" applyFill="1" applyBorder="1" applyAlignment="1">
      <alignment vertical="center"/>
    </xf>
    <xf numFmtId="44" fontId="27" fillId="3" borderId="25" xfId="2" applyFont="1" applyFill="1" applyBorder="1" applyAlignment="1">
      <alignment vertical="center"/>
    </xf>
    <xf numFmtId="0" fontId="17" fillId="3" borderId="13" xfId="0" applyFont="1" applyFill="1" applyBorder="1" applyAlignment="1">
      <alignment vertical="center" wrapText="1"/>
    </xf>
    <xf numFmtId="2" fontId="27" fillId="3" borderId="70" xfId="0" applyNumberFormat="1" applyFont="1" applyFill="1" applyBorder="1" applyAlignment="1">
      <alignment vertical="center" wrapText="1"/>
    </xf>
    <xf numFmtId="44" fontId="27" fillId="3" borderId="21" xfId="2" applyFont="1" applyFill="1" applyBorder="1" applyAlignment="1">
      <alignment vertical="center" wrapText="1"/>
    </xf>
    <xf numFmtId="0" fontId="28" fillId="3" borderId="27" xfId="0" applyFont="1" applyFill="1" applyBorder="1" applyAlignment="1">
      <alignment vertical="center" wrapText="1"/>
    </xf>
    <xf numFmtId="44" fontId="28" fillId="3" borderId="28" xfId="0" applyNumberFormat="1" applyFont="1" applyFill="1" applyBorder="1" applyAlignment="1">
      <alignment vertical="center" wrapText="1"/>
    </xf>
    <xf numFmtId="0" fontId="23" fillId="0" borderId="0" xfId="0" applyFont="1" applyAlignment="1">
      <alignment vertical="center"/>
    </xf>
    <xf numFmtId="0" fontId="23" fillId="3" borderId="14" xfId="0" applyFont="1" applyFill="1" applyBorder="1" applyAlignment="1">
      <alignment vertical="center" wrapText="1"/>
    </xf>
    <xf numFmtId="43" fontId="29" fillId="3" borderId="9" xfId="1" applyFont="1" applyFill="1" applyBorder="1" applyAlignment="1">
      <alignment vertical="center" wrapText="1"/>
    </xf>
    <xf numFmtId="44" fontId="27" fillId="3" borderId="22" xfId="2" applyFont="1" applyFill="1" applyBorder="1" applyAlignment="1">
      <alignment vertical="center" wrapText="1"/>
    </xf>
    <xf numFmtId="44" fontId="29" fillId="3" borderId="22" xfId="2" applyFont="1" applyFill="1" applyBorder="1" applyAlignment="1">
      <alignment vertical="center" wrapText="1"/>
    </xf>
    <xf numFmtId="44" fontId="23" fillId="0" borderId="0" xfId="2" applyFont="1" applyFill="1" applyBorder="1" applyAlignment="1">
      <alignment vertical="center"/>
    </xf>
    <xf numFmtId="43" fontId="28" fillId="3" borderId="9" xfId="1" applyFont="1" applyFill="1" applyBorder="1" applyAlignment="1">
      <alignment vertical="center" wrapText="1"/>
    </xf>
    <xf numFmtId="10" fontId="28" fillId="3" borderId="9" xfId="3" applyNumberFormat="1" applyFont="1" applyFill="1" applyBorder="1" applyAlignment="1">
      <alignment vertical="center" wrapText="1"/>
    </xf>
    <xf numFmtId="44" fontId="28" fillId="3" borderId="29" xfId="2" applyFont="1" applyFill="1" applyBorder="1" applyAlignment="1">
      <alignment vertical="center" wrapText="1"/>
    </xf>
    <xf numFmtId="0" fontId="28" fillId="3" borderId="28" xfId="0" applyFont="1" applyFill="1" applyBorder="1" applyAlignment="1">
      <alignment vertical="center" wrapText="1"/>
    </xf>
    <xf numFmtId="0" fontId="23" fillId="3" borderId="15" xfId="0" applyFont="1" applyFill="1" applyBorder="1" applyAlignment="1">
      <alignment vertical="center" wrapText="1"/>
    </xf>
    <xf numFmtId="44" fontId="27" fillId="3" borderId="25" xfId="2" applyFont="1" applyFill="1" applyBorder="1" applyAlignment="1">
      <alignment vertical="center" wrapText="1"/>
    </xf>
    <xf numFmtId="0" fontId="23" fillId="3" borderId="20" xfId="0" applyFont="1" applyFill="1" applyBorder="1" applyAlignment="1">
      <alignment vertical="center" wrapText="1"/>
    </xf>
    <xf numFmtId="44" fontId="3" fillId="0" borderId="0" xfId="2" applyFont="1" applyFill="1" applyBorder="1" applyAlignment="1">
      <alignment vertical="center"/>
    </xf>
    <xf numFmtId="0" fontId="23" fillId="3" borderId="23" xfId="0" applyFont="1" applyFill="1" applyBorder="1" applyAlignment="1">
      <alignment vertical="center" wrapText="1"/>
    </xf>
    <xf numFmtId="44" fontId="17" fillId="0" borderId="0" xfId="2" applyFont="1" applyBorder="1" applyAlignment="1">
      <alignment vertical="center"/>
    </xf>
    <xf numFmtId="0" fontId="24" fillId="0" borderId="0" xfId="0" applyFont="1" applyAlignment="1">
      <alignment vertical="center"/>
    </xf>
    <xf numFmtId="43" fontId="27" fillId="3" borderId="2" xfId="1" applyFont="1" applyFill="1" applyBorder="1" applyAlignment="1">
      <alignment vertical="center" wrapText="1"/>
    </xf>
    <xf numFmtId="0" fontId="27" fillId="3" borderId="2" xfId="0" applyFont="1" applyFill="1" applyBorder="1" applyAlignment="1">
      <alignment vertical="center" wrapText="1"/>
    </xf>
    <xf numFmtId="0" fontId="0" fillId="0" borderId="6" xfId="0" applyBorder="1" applyAlignment="1">
      <alignment vertical="center"/>
    </xf>
    <xf numFmtId="43" fontId="27" fillId="3" borderId="1" xfId="1" applyFont="1" applyFill="1" applyBorder="1" applyAlignment="1">
      <alignment vertical="center" wrapText="1"/>
    </xf>
    <xf numFmtId="0" fontId="27" fillId="3" borderId="1" xfId="0" applyFont="1" applyFill="1" applyBorder="1" applyAlignment="1">
      <alignment vertical="center" wrapText="1"/>
    </xf>
    <xf numFmtId="43" fontId="27" fillId="3" borderId="24" xfId="1" applyFont="1" applyFill="1" applyBorder="1" applyAlignment="1">
      <alignment vertical="center" wrapText="1"/>
    </xf>
    <xf numFmtId="0" fontId="27" fillId="3" borderId="24" xfId="0" applyFont="1" applyFill="1" applyBorder="1" applyAlignment="1">
      <alignment vertical="center" wrapText="1"/>
    </xf>
    <xf numFmtId="0" fontId="23" fillId="3" borderId="51" xfId="0" applyFont="1" applyFill="1" applyBorder="1" applyAlignment="1">
      <alignment vertical="center" wrapText="1"/>
    </xf>
    <xf numFmtId="0" fontId="25" fillId="0" borderId="0" xfId="0" applyFont="1" applyAlignment="1">
      <alignment vertical="center"/>
    </xf>
    <xf numFmtId="44" fontId="25" fillId="0" borderId="0" xfId="0" applyNumberFormat="1" applyFont="1" applyAlignment="1">
      <alignment vertical="center"/>
    </xf>
    <xf numFmtId="3" fontId="38" fillId="3" borderId="111" xfId="7" applyNumberFormat="1" applyFont="1" applyFill="1" applyBorder="1" applyAlignment="1" applyProtection="1">
      <alignment horizontal="center" vertical="center"/>
    </xf>
    <xf numFmtId="0" fontId="0" fillId="20" borderId="261" xfId="0" applyFill="1" applyBorder="1" applyAlignment="1">
      <alignment vertical="center"/>
    </xf>
    <xf numFmtId="0" fontId="0" fillId="20" borderId="266" xfId="0" applyFill="1" applyBorder="1" applyAlignment="1">
      <alignment horizontal="center" vertical="center"/>
    </xf>
    <xf numFmtId="0" fontId="0" fillId="20" borderId="260" xfId="0" applyFill="1" applyBorder="1" applyAlignment="1">
      <alignment horizontal="center" vertical="center"/>
    </xf>
    <xf numFmtId="0" fontId="0" fillId="20" borderId="242" xfId="0" applyFill="1" applyBorder="1" applyAlignment="1">
      <alignment vertical="center"/>
    </xf>
    <xf numFmtId="0" fontId="70" fillId="21" borderId="186" xfId="0" applyFont="1" applyFill="1" applyBorder="1" applyAlignment="1">
      <alignment vertical="center"/>
    </xf>
    <xf numFmtId="0" fontId="17" fillId="28" borderId="186" xfId="0" applyFont="1" applyFill="1" applyBorder="1" applyAlignment="1">
      <alignment vertical="center"/>
    </xf>
    <xf numFmtId="0" fontId="0" fillId="28" borderId="186" xfId="0" applyFill="1" applyBorder="1" applyAlignment="1">
      <alignment vertical="center"/>
    </xf>
    <xf numFmtId="0" fontId="3" fillId="32" borderId="239" xfId="0" applyFont="1" applyFill="1" applyBorder="1" applyAlignment="1">
      <alignment horizontal="center" vertical="center"/>
    </xf>
    <xf numFmtId="0" fontId="0" fillId="33" borderId="0" xfId="0" applyFill="1" applyAlignment="1">
      <alignment vertical="center"/>
    </xf>
    <xf numFmtId="44" fontId="0" fillId="23" borderId="0" xfId="0" applyNumberFormat="1" applyFill="1" applyAlignment="1">
      <alignment vertical="center"/>
    </xf>
    <xf numFmtId="44" fontId="0" fillId="23" borderId="0" xfId="2" applyFont="1" applyFill="1" applyAlignment="1">
      <alignment vertical="center"/>
    </xf>
    <xf numFmtId="44" fontId="0" fillId="23" borderId="186" xfId="2" applyFont="1" applyFill="1" applyBorder="1" applyAlignment="1">
      <alignment vertical="center"/>
    </xf>
    <xf numFmtId="0" fontId="0" fillId="0" borderId="139" xfId="0" applyBorder="1" applyAlignment="1">
      <alignment vertical="center"/>
    </xf>
    <xf numFmtId="44" fontId="0" fillId="0" borderId="157" xfId="0" applyNumberFormat="1" applyBorder="1" applyAlignment="1">
      <alignment vertical="center"/>
    </xf>
    <xf numFmtId="44" fontId="0" fillId="0" borderId="76" xfId="0" applyNumberFormat="1" applyBorder="1" applyAlignment="1">
      <alignment vertical="center"/>
    </xf>
    <xf numFmtId="44" fontId="0" fillId="0" borderId="80" xfId="0" applyNumberFormat="1" applyBorder="1" applyAlignment="1">
      <alignment vertical="center"/>
    </xf>
    <xf numFmtId="0" fontId="17" fillId="0" borderId="196" xfId="0" applyFont="1" applyBorder="1" applyAlignment="1">
      <alignment vertical="center"/>
    </xf>
    <xf numFmtId="44" fontId="17" fillId="0" borderId="80" xfId="0" applyNumberFormat="1" applyFont="1" applyBorder="1" applyAlignment="1">
      <alignment vertical="center"/>
    </xf>
    <xf numFmtId="0" fontId="0" fillId="0" borderId="3" xfId="0" applyBorder="1" applyAlignment="1">
      <alignment vertical="center"/>
    </xf>
    <xf numFmtId="44" fontId="0" fillId="0" borderId="4" xfId="0" applyNumberFormat="1" applyBorder="1" applyAlignment="1">
      <alignment vertical="center"/>
    </xf>
    <xf numFmtId="44" fontId="0" fillId="0" borderId="5" xfId="0" applyNumberFormat="1" applyBorder="1" applyAlignment="1">
      <alignment vertical="center"/>
    </xf>
    <xf numFmtId="0" fontId="3" fillId="0" borderId="80" xfId="0" applyFont="1" applyBorder="1" applyAlignment="1">
      <alignment vertical="center"/>
    </xf>
    <xf numFmtId="0" fontId="0" fillId="0" borderId="196" xfId="0" applyBorder="1" applyAlignment="1">
      <alignment vertical="center"/>
    </xf>
    <xf numFmtId="170" fontId="0" fillId="0" borderId="81" xfId="0" applyNumberFormat="1" applyBorder="1" applyAlignment="1">
      <alignment vertical="center"/>
    </xf>
    <xf numFmtId="44" fontId="0" fillId="25" borderId="85" xfId="0" applyNumberFormat="1" applyFill="1" applyBorder="1" applyAlignment="1">
      <alignment vertical="center"/>
    </xf>
    <xf numFmtId="44" fontId="0" fillId="25" borderId="171" xfId="0" applyNumberFormat="1" applyFill="1" applyBorder="1" applyAlignment="1">
      <alignment vertical="center"/>
    </xf>
    <xf numFmtId="44" fontId="0" fillId="25" borderId="97" xfId="0" applyNumberFormat="1" applyFill="1" applyBorder="1" applyAlignment="1">
      <alignment vertical="center"/>
    </xf>
    <xf numFmtId="8" fontId="0" fillId="0" borderId="81" xfId="0" applyNumberFormat="1" applyBorder="1" applyAlignment="1">
      <alignment vertical="center"/>
    </xf>
    <xf numFmtId="164" fontId="0" fillId="0" borderId="81" xfId="7" applyFont="1" applyBorder="1" applyAlignment="1">
      <alignment vertical="center"/>
    </xf>
    <xf numFmtId="0" fontId="0" fillId="0" borderId="159" xfId="0" applyBorder="1" applyAlignment="1">
      <alignment vertical="center"/>
    </xf>
    <xf numFmtId="44" fontId="0" fillId="0" borderId="158" xfId="0" applyNumberFormat="1" applyBorder="1" applyAlignment="1">
      <alignment vertical="center"/>
    </xf>
    <xf numFmtId="0" fontId="0" fillId="0" borderId="233" xfId="0" applyBorder="1" applyAlignment="1">
      <alignment vertical="center"/>
    </xf>
    <xf numFmtId="44" fontId="0" fillId="0" borderId="232" xfId="0" applyNumberFormat="1" applyBorder="1" applyAlignment="1">
      <alignment vertical="center"/>
    </xf>
    <xf numFmtId="44" fontId="3" fillId="0" borderId="81" xfId="0" applyNumberFormat="1" applyFont="1" applyBorder="1" applyAlignment="1">
      <alignment vertical="center"/>
    </xf>
    <xf numFmtId="44" fontId="0" fillId="0" borderId="75" xfId="0" applyNumberFormat="1" applyBorder="1" applyAlignment="1">
      <alignment vertical="center"/>
    </xf>
    <xf numFmtId="0" fontId="0" fillId="0" borderId="6" xfId="0" applyBorder="1" applyAlignment="1">
      <alignment horizontal="right" vertical="center"/>
    </xf>
    <xf numFmtId="0" fontId="0" fillId="0" borderId="139" xfId="0" applyBorder="1" applyAlignment="1">
      <alignment horizontal="right" vertical="center"/>
    </xf>
    <xf numFmtId="0" fontId="0" fillId="0" borderId="79" xfId="0" applyBorder="1" applyAlignment="1">
      <alignment horizontal="center" vertical="center" wrapText="1"/>
    </xf>
    <xf numFmtId="0" fontId="0" fillId="0" borderId="0" xfId="0" applyAlignment="1">
      <alignment horizontal="center" vertical="center" wrapText="1"/>
    </xf>
    <xf numFmtId="0" fontId="0" fillId="0" borderId="79" xfId="0" applyBorder="1" applyAlignment="1">
      <alignment horizontal="center" vertical="center"/>
    </xf>
    <xf numFmtId="0" fontId="0" fillId="0" borderId="0" xfId="0" applyAlignment="1">
      <alignment horizontal="center" vertical="center"/>
    </xf>
    <xf numFmtId="0" fontId="32" fillId="0" borderId="79" xfId="0" applyFont="1" applyBorder="1" applyAlignment="1">
      <alignment horizontal="center" vertical="center" wrapText="1"/>
    </xf>
    <xf numFmtId="0" fontId="32" fillId="0" borderId="0" xfId="0" applyFont="1" applyAlignment="1">
      <alignment horizontal="center" vertical="center" wrapText="1"/>
    </xf>
    <xf numFmtId="0" fontId="33" fillId="0" borderId="79" xfId="0" applyFont="1" applyBorder="1" applyAlignment="1">
      <alignment horizontal="center" vertical="center" wrapText="1"/>
    </xf>
    <xf numFmtId="0" fontId="33" fillId="0" borderId="0" xfId="0" applyFont="1" applyAlignment="1">
      <alignment horizontal="center" vertical="center" wrapText="1"/>
    </xf>
    <xf numFmtId="0" fontId="47" fillId="0" borderId="84" xfId="0" applyFont="1" applyBorder="1" applyAlignment="1">
      <alignment horizontal="center" vertical="center" wrapText="1"/>
    </xf>
    <xf numFmtId="0" fontId="47" fillId="0" borderId="83" xfId="0" applyFont="1" applyBorder="1" applyAlignment="1">
      <alignment horizontal="center" vertical="center" wrapText="1"/>
    </xf>
    <xf numFmtId="0" fontId="47" fillId="0" borderId="82" xfId="0" applyFont="1" applyBorder="1" applyAlignment="1">
      <alignment horizontal="center" vertical="center" wrapText="1"/>
    </xf>
    <xf numFmtId="9" fontId="39" fillId="3" borderId="111" xfId="0" applyNumberFormat="1" applyFont="1" applyFill="1" applyBorder="1" applyAlignment="1">
      <alignment horizontal="center" vertical="center"/>
    </xf>
    <xf numFmtId="0" fontId="39" fillId="3" borderId="110" xfId="0" applyFont="1" applyFill="1" applyBorder="1" applyAlignment="1">
      <alignment horizontal="center" vertical="center"/>
    </xf>
    <xf numFmtId="3" fontId="39" fillId="3" borderId="111" xfId="0" applyNumberFormat="1" applyFont="1" applyFill="1" applyBorder="1" applyAlignment="1">
      <alignment horizontal="center" vertical="center"/>
    </xf>
    <xf numFmtId="44" fontId="39" fillId="3" borderId="111" xfId="2" applyFont="1" applyFill="1" applyBorder="1" applyAlignment="1">
      <alignment horizontal="center" vertical="center"/>
    </xf>
    <xf numFmtId="44" fontId="39" fillId="3" borderId="110" xfId="2" applyFont="1" applyFill="1" applyBorder="1" applyAlignment="1">
      <alignment horizontal="center" vertical="center"/>
    </xf>
    <xf numFmtId="171" fontId="61" fillId="0" borderId="156" xfId="0" applyNumberFormat="1" applyFont="1" applyBorder="1" applyAlignment="1">
      <alignment horizontal="center" vertical="center"/>
    </xf>
    <xf numFmtId="171" fontId="61" fillId="0" borderId="155" xfId="0" applyNumberFormat="1" applyFont="1" applyBorder="1" applyAlignment="1">
      <alignment horizontal="center" vertical="center"/>
    </xf>
    <xf numFmtId="0" fontId="0" fillId="0" borderId="4"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0" fillId="16" borderId="4" xfId="0" applyFill="1" applyBorder="1" applyAlignment="1">
      <alignment horizontal="center"/>
    </xf>
    <xf numFmtId="0" fontId="0" fillId="16" borderId="3" xfId="0" applyFill="1" applyBorder="1" applyAlignment="1">
      <alignment horizontal="center"/>
    </xf>
    <xf numFmtId="0" fontId="0" fillId="16" borderId="5" xfId="0" applyFill="1" applyBorder="1" applyAlignment="1">
      <alignment horizontal="center"/>
    </xf>
  </cellXfs>
  <cellStyles count="8">
    <cellStyle name="Millares" xfId="1" builtinId="3"/>
    <cellStyle name="Millares 2" xfId="7" xr:uid="{BCA28D0F-B746-40F9-8EEF-9B6C182B5D7E}"/>
    <cellStyle name="Moneda" xfId="2" builtinId="4"/>
    <cellStyle name="Normal" xfId="0" builtinId="0"/>
    <cellStyle name="Normal_AMADO relacion de material y equipamiento sartaña" xfId="6" xr:uid="{286521FB-D315-4829-A634-708B355C98E0}"/>
    <cellStyle name="Normal_CUENTA EXPLOTACION ALMERÍA" xfId="5" xr:uid="{DDFC86DF-84A6-4E62-91E2-AD8B37647199}"/>
    <cellStyle name="Normal_MODELEVA" xfId="4" xr:uid="{32889741-DDFA-4B7D-8036-74F3843DC6F2}"/>
    <cellStyle name="Porcentaje" xfId="3" builtinId="5"/>
  </cellStyles>
  <dxfs count="77">
    <dxf>
      <fill>
        <patternFill>
          <bgColor theme="9" tint="0.39994506668294322"/>
        </patternFill>
      </fill>
    </dxf>
    <dxf>
      <fill>
        <patternFill>
          <bgColor theme="6"/>
        </patternFill>
      </fill>
    </dxf>
    <dxf>
      <font>
        <color rgb="FF006100"/>
      </font>
      <fill>
        <patternFill>
          <bgColor rgb="FFC6EFCE"/>
        </patternFill>
      </fill>
    </dxf>
    <dxf>
      <fill>
        <patternFill>
          <bgColor theme="6"/>
        </patternFill>
      </fill>
    </dxf>
    <dxf>
      <fill>
        <patternFill>
          <bgColor rgb="FFFFFF99"/>
        </patternFill>
      </fill>
    </dxf>
    <dxf>
      <fill>
        <patternFill>
          <bgColor theme="5" tint="0.39994506668294322"/>
        </patternFill>
      </fill>
    </dxf>
    <dxf>
      <fill>
        <patternFill>
          <bgColor theme="6" tint="0.39994506668294322"/>
        </patternFill>
      </fill>
    </dxf>
    <dxf>
      <fill>
        <patternFill>
          <bgColor theme="7" tint="0.79998168889431442"/>
        </patternFill>
      </fill>
    </dxf>
    <dxf>
      <fill>
        <patternFill>
          <bgColor theme="5" tint="0.39994506668294322"/>
        </patternFill>
      </fill>
    </dxf>
    <dxf>
      <fill>
        <patternFill>
          <bgColor theme="9" tint="0.59996337778862885"/>
        </patternFill>
      </fill>
    </dxf>
    <dxf>
      <fill>
        <patternFill>
          <bgColor theme="7" tint="0.79998168889431442"/>
        </patternFill>
      </fill>
    </dxf>
    <dxf>
      <fill>
        <patternFill>
          <bgColor theme="5" tint="0.39994506668294322"/>
        </patternFill>
      </fill>
    </dxf>
    <dxf>
      <fill>
        <patternFill>
          <bgColor theme="9" tint="0.59996337778862885"/>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strike val="0"/>
        <outline val="0"/>
        <shadow val="0"/>
        <u val="none"/>
        <vertAlign val="baseline"/>
        <sz val="11"/>
        <color auto="1"/>
      </font>
      <numFmt numFmtId="0" formatCode="General"/>
      <alignment horizontal="general" vertical="center" textRotation="0" wrapText="1" indent="0" justifyLastLine="0" shrinkToFit="0" readingOrder="0"/>
    </dxf>
    <dxf>
      <font>
        <strike val="0"/>
        <outline val="0"/>
        <shadow val="0"/>
        <u val="none"/>
        <vertAlign val="baseline"/>
        <sz val="11"/>
        <color auto="1"/>
      </font>
      <alignment horizontal="general" vertical="center" textRotation="0" wrapText="1" indent="0" justifyLastLine="0" shrinkToFit="0" readingOrder="0"/>
    </dxf>
    <dxf>
      <font>
        <strike val="0"/>
        <outline val="0"/>
        <shadow val="0"/>
        <u val="none"/>
        <vertAlign val="baseline"/>
        <sz val="11"/>
        <color auto="1"/>
      </font>
      <alignment horizontal="general" vertical="center" textRotation="0" wrapText="1" indent="0" justifyLastLine="0" shrinkToFit="0" readingOrder="0"/>
    </dxf>
    <dxf>
      <font>
        <strike val="0"/>
        <outline val="0"/>
        <shadow val="0"/>
        <u val="none"/>
        <vertAlign val="baseline"/>
        <sz val="11"/>
        <color auto="1"/>
      </font>
      <alignment horizontal="general" vertical="center" textRotation="0" wrapText="1" indent="0" justifyLastLine="0" shrinkToFit="0" readingOrder="0"/>
    </dxf>
    <dxf>
      <font>
        <strike val="0"/>
        <outline val="0"/>
        <shadow val="0"/>
        <u val="none"/>
        <vertAlign val="baseline"/>
        <sz val="11"/>
        <color auto="1"/>
      </font>
      <alignment horizontal="general" vertical="center" textRotation="0" wrapText="1" indent="0" justifyLastLine="0" shrinkToFit="0" readingOrder="0"/>
    </dxf>
    <dxf>
      <font>
        <strike val="0"/>
        <outline val="0"/>
        <shadow val="0"/>
        <u val="none"/>
        <vertAlign val="baseline"/>
        <sz val="11"/>
        <color auto="1"/>
      </font>
      <alignment horizontal="general" vertical="center" textRotation="0" wrapText="1"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strike val="0"/>
        <outline val="0"/>
        <shadow val="0"/>
        <u val="none"/>
        <vertAlign val="baseline"/>
        <sz val="11"/>
        <color auto="1"/>
      </font>
      <numFmt numFmtId="0" formatCode="General"/>
      <alignment horizontal="general" vertical="center" textRotation="0" wrapText="1" indent="0" justifyLastLine="0" shrinkToFit="0" readingOrder="0"/>
    </dxf>
    <dxf>
      <font>
        <strike val="0"/>
        <outline val="0"/>
        <shadow val="0"/>
        <u val="none"/>
        <vertAlign val="baseline"/>
        <sz val="11"/>
        <color auto="1"/>
      </font>
      <alignment horizontal="general" vertical="center" textRotation="0" wrapText="1" indent="0" justifyLastLine="0" shrinkToFit="0" readingOrder="0"/>
    </dxf>
    <dxf>
      <font>
        <strike val="0"/>
        <outline val="0"/>
        <shadow val="0"/>
        <u val="none"/>
        <vertAlign val="baseline"/>
        <sz val="11"/>
        <color auto="1"/>
      </font>
      <alignment horizontal="general" vertical="center" textRotation="0" wrapText="1" indent="0" justifyLastLine="0" shrinkToFit="0" readingOrder="0"/>
    </dxf>
    <dxf>
      <font>
        <strike val="0"/>
        <outline val="0"/>
        <shadow val="0"/>
        <u val="none"/>
        <vertAlign val="baseline"/>
        <sz val="11"/>
        <color auto="1"/>
      </font>
      <alignment horizontal="general" vertical="center" textRotation="0" wrapText="1" indent="0" justifyLastLine="0" shrinkToFit="0" readingOrder="0"/>
    </dxf>
    <dxf>
      <font>
        <strike val="0"/>
        <outline val="0"/>
        <shadow val="0"/>
        <u val="none"/>
        <vertAlign val="baseline"/>
        <sz val="11"/>
        <color auto="1"/>
      </font>
      <alignment horizontal="general" vertical="center" textRotation="0" wrapText="1" indent="0" justifyLastLine="0" shrinkToFit="0" readingOrder="0"/>
    </dxf>
    <dxf>
      <font>
        <strike val="0"/>
        <outline val="0"/>
        <shadow val="0"/>
        <u val="none"/>
        <vertAlign val="baseline"/>
        <sz val="11"/>
        <color auto="1"/>
      </font>
      <alignment horizontal="general" vertical="center" textRotation="0" wrapText="1" indent="0" justifyLastLine="0" shrinkToFit="0" readingOrder="0"/>
    </dxf>
  </dxfs>
  <tableStyles count="1" defaultTableStyle="TableStyleMedium2" defaultPivotStyle="PivotStyleLight16">
    <tableStyle name="Invisible" pivot="0" table="0" count="0" xr9:uid="{60FF3B41-5B1A-477F-BD68-2BB6F17E046B}"/>
  </tableStyles>
  <colors>
    <mruColors>
      <color rgb="FF0000F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0</xdr:colOff>
      <xdr:row>0</xdr:row>
      <xdr:rowOff>184150</xdr:rowOff>
    </xdr:from>
    <xdr:to>
      <xdr:col>9</xdr:col>
      <xdr:colOff>527050</xdr:colOff>
      <xdr:row>7</xdr:row>
      <xdr:rowOff>57150</xdr:rowOff>
    </xdr:to>
    <xdr:sp macro="" textlink="">
      <xdr:nvSpPr>
        <xdr:cNvPr id="2" name="CuadroTexto 1">
          <a:extLst>
            <a:ext uri="{FF2B5EF4-FFF2-40B4-BE49-F238E27FC236}">
              <a16:creationId xmlns:a16="http://schemas.microsoft.com/office/drawing/2014/main" id="{957014DD-1E85-4462-BA09-90143D1D4824}"/>
            </a:ext>
          </a:extLst>
        </xdr:cNvPr>
        <xdr:cNvSpPr txBox="1"/>
      </xdr:nvSpPr>
      <xdr:spPr>
        <a:xfrm>
          <a:off x="3962400" y="184150"/>
          <a:ext cx="3696970" cy="1153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solidFill>
                <a:srgbClr val="FF0000"/>
              </a:solidFill>
            </a:rPr>
            <a:t>Precisión Importante:</a:t>
          </a:r>
        </a:p>
        <a:p>
          <a:r>
            <a:rPr lang="es-ES" sz="1100" b="1">
              <a:solidFill>
                <a:sysClr val="windowText" lastClr="000000"/>
              </a:solidFill>
            </a:rPr>
            <a:t>Todos os campos calcúlanse automáticamente, segundo</a:t>
          </a:r>
          <a:r>
            <a:rPr lang="es-ES" sz="1100" b="1" baseline="0">
              <a:solidFill>
                <a:sysClr val="windowText" lastClr="000000"/>
              </a:solidFill>
            </a:rPr>
            <a:t> o indicado no libro denominado Insumos_Plan_de_Negocio.xlsx. Calquera modificación que precise realizarse deberá efectuarse sobre o mencionado libro e NON sobre o actual.</a:t>
          </a:r>
          <a:endParaRPr lang="es-ES" sz="11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603250</xdr:colOff>
      <xdr:row>0</xdr:row>
      <xdr:rowOff>234950</xdr:rowOff>
    </xdr:from>
    <xdr:to>
      <xdr:col>14</xdr:col>
      <xdr:colOff>133350</xdr:colOff>
      <xdr:row>10</xdr:row>
      <xdr:rowOff>139700</xdr:rowOff>
    </xdr:to>
    <xdr:sp macro="" textlink="">
      <xdr:nvSpPr>
        <xdr:cNvPr id="2" name="CuadroTexto 1">
          <a:extLst>
            <a:ext uri="{FF2B5EF4-FFF2-40B4-BE49-F238E27FC236}">
              <a16:creationId xmlns:a16="http://schemas.microsoft.com/office/drawing/2014/main" id="{91ED1CB0-9B81-45EE-9B81-EDB31D338C6F}"/>
            </a:ext>
          </a:extLst>
        </xdr:cNvPr>
        <xdr:cNvSpPr txBox="1"/>
      </xdr:nvSpPr>
      <xdr:spPr>
        <a:xfrm>
          <a:off x="6089650" y="181610"/>
          <a:ext cx="2578100" cy="17868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Variando </a:t>
          </a:r>
          <a:r>
            <a:rPr lang="es-ES" sz="1100" b="1">
              <a:solidFill>
                <a:srgbClr val="FF0000"/>
              </a:solidFill>
            </a:rPr>
            <a:t>únicamente</a:t>
          </a:r>
          <a:r>
            <a:rPr lang="es-ES" sz="1100" b="1"/>
            <a:t> os valores das celas destacadas</a:t>
          </a:r>
          <a:r>
            <a:rPr lang="es-ES" sz="1100" b="1" baseline="0"/>
            <a:t> coas cores verde e vermella, varíanse os limiares mínimo e máximo da distribución de consumos mensuais entre os socios. Os valores concretos destes consumos, así como da suma dos mesmos, son aleatorios e xéranse automáticamente, polo que non son estables. Variando o valor da cela en cor azul, indícase a proporción de aforro sobre a factura eléctrica inicial que se desexa para cada socio.</a:t>
          </a:r>
          <a:endParaRPr lang="es-ES"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19050</xdr:colOff>
      <xdr:row>2</xdr:row>
      <xdr:rowOff>19050</xdr:rowOff>
    </xdr:to>
    <xdr:sp macro="" textlink="">
      <xdr:nvSpPr>
        <xdr:cNvPr id="2" name="CuadroTexto 1">
          <a:extLst>
            <a:ext uri="{FF2B5EF4-FFF2-40B4-BE49-F238E27FC236}">
              <a16:creationId xmlns:a16="http://schemas.microsoft.com/office/drawing/2014/main" id="{D000E875-BE1C-4408-AE6D-04AAB798B892}"/>
            </a:ext>
          </a:extLst>
        </xdr:cNvPr>
        <xdr:cNvSpPr txBox="1"/>
      </xdr:nvSpPr>
      <xdr:spPr>
        <a:xfrm>
          <a:off x="0" y="0"/>
          <a:ext cx="811530" cy="38481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050" b="0" i="0" u="sng" strike="noStrike" kern="0" cap="none" spc="0" normalizeH="0" baseline="0" noProof="0">
              <a:ln>
                <a:noFill/>
              </a:ln>
              <a:solidFill>
                <a:srgbClr val="FF0000"/>
              </a:solidFill>
              <a:effectLst/>
              <a:uLnTx/>
              <a:uFillTx/>
              <a:latin typeface="Calibri" panose="020F0502020204030204"/>
              <a:ea typeface="+mn-ea"/>
              <a:cs typeface="+mn-cs"/>
            </a:rPr>
            <a:t>Nota Importante</a:t>
          </a:r>
          <a:r>
            <a:rPr kumimoji="0" lang="es-ES" sz="1050" b="0" i="0" u="none" strike="noStrike" kern="0" cap="none" spc="0" normalizeH="0" baseline="0" noProof="0">
              <a:ln>
                <a:noFill/>
              </a:ln>
              <a:solidFill>
                <a:srgbClr val="FF0000"/>
              </a:solidFill>
              <a:effectLst/>
              <a:uLnTx/>
              <a:uFillTx/>
              <a:latin typeface="Calibri" panose="020F0502020204030204"/>
              <a:ea typeface="+mn-ea"/>
              <a:cs typeface="+mn-cs"/>
            </a:rPr>
            <a:t>: TODAS </a:t>
          </a:r>
          <a:r>
            <a:rPr kumimoji="0" lang="es-ES" sz="1050" b="0" i="0" u="none" strike="noStrike" kern="0" cap="none" spc="0" normalizeH="0" baseline="0" noProof="0">
              <a:ln>
                <a:noFill/>
              </a:ln>
              <a:solidFill>
                <a:sysClr val="windowText" lastClr="000000"/>
              </a:solidFill>
              <a:effectLst/>
              <a:uLnTx/>
              <a:uFillTx/>
              <a:latin typeface="Calibri" panose="020F0502020204030204"/>
              <a:ea typeface="+mn-ea"/>
              <a:cs typeface="+mn-cs"/>
            </a:rPr>
            <a:t>as celas desta páxina conteñen fórmulas que fan referencia a outras. Non procede introducir ningún dato numérico nesta folla. Os números mostrados calcúlanse de maneira automática</a:t>
          </a:r>
          <a:endParaRPr kumimoji="0" lang="es-ES" sz="1050" b="0" i="0" u="none" strike="noStrike" kern="0" cap="none" spc="0" normalizeH="0" baseline="0" noProof="0">
            <a:ln>
              <a:noFill/>
            </a:ln>
            <a:solidFill>
              <a:srgbClr val="FF0000"/>
            </a:solidFill>
            <a:effectLst/>
            <a:uLnTx/>
            <a:uFillTx/>
            <a:latin typeface="Calibri" panose="020F0502020204030204"/>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19050</xdr:colOff>
      <xdr:row>2</xdr:row>
      <xdr:rowOff>19050</xdr:rowOff>
    </xdr:to>
    <xdr:sp macro="" textlink="">
      <xdr:nvSpPr>
        <xdr:cNvPr id="2" name="CuadroTexto 1">
          <a:extLst>
            <a:ext uri="{FF2B5EF4-FFF2-40B4-BE49-F238E27FC236}">
              <a16:creationId xmlns:a16="http://schemas.microsoft.com/office/drawing/2014/main" id="{D149E297-4937-471B-8E0F-86CEF7D89F7E}"/>
            </a:ext>
          </a:extLst>
        </xdr:cNvPr>
        <xdr:cNvSpPr txBox="1"/>
      </xdr:nvSpPr>
      <xdr:spPr>
        <a:xfrm>
          <a:off x="0" y="0"/>
          <a:ext cx="811530" cy="3848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050" u="sng">
              <a:solidFill>
                <a:srgbClr val="FF0000"/>
              </a:solidFill>
            </a:rPr>
            <a:t>Nota Importante</a:t>
          </a:r>
          <a:r>
            <a:rPr lang="es-ES" sz="1050">
              <a:solidFill>
                <a:srgbClr val="FF0000"/>
              </a:solidFill>
            </a:rPr>
            <a:t>: TODAS </a:t>
          </a:r>
          <a:r>
            <a:rPr lang="es-ES" sz="1050">
              <a:solidFill>
                <a:sysClr val="windowText" lastClr="000000"/>
              </a:solidFill>
            </a:rPr>
            <a:t>as</a:t>
          </a:r>
          <a:r>
            <a:rPr lang="es-ES" sz="1050" baseline="0">
              <a:solidFill>
                <a:sysClr val="windowText" lastClr="000000"/>
              </a:solidFill>
            </a:rPr>
            <a:t> celas desta páxina conteñen fórmulas que fan referencia a outras. Non procede introducir ningún dato numérico nesta folla. Os números mostrados calcúlanse de maneira automática</a:t>
          </a:r>
          <a:endParaRPr lang="es-ES" sz="105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19050</xdr:colOff>
      <xdr:row>2</xdr:row>
      <xdr:rowOff>19050</xdr:rowOff>
    </xdr:to>
    <xdr:sp macro="" textlink="">
      <xdr:nvSpPr>
        <xdr:cNvPr id="2" name="CuadroTexto 1">
          <a:extLst>
            <a:ext uri="{FF2B5EF4-FFF2-40B4-BE49-F238E27FC236}">
              <a16:creationId xmlns:a16="http://schemas.microsoft.com/office/drawing/2014/main" id="{A2C0550D-4617-4AB9-A2D8-F7472EAB9A5D}"/>
            </a:ext>
          </a:extLst>
        </xdr:cNvPr>
        <xdr:cNvSpPr txBox="1"/>
      </xdr:nvSpPr>
      <xdr:spPr>
        <a:xfrm>
          <a:off x="0" y="0"/>
          <a:ext cx="811530" cy="38481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050" b="0" i="0" u="sng" strike="noStrike" kern="0" cap="none" spc="0" normalizeH="0" baseline="0" noProof="0">
              <a:ln>
                <a:noFill/>
              </a:ln>
              <a:solidFill>
                <a:srgbClr val="FF0000"/>
              </a:solidFill>
              <a:effectLst/>
              <a:uLnTx/>
              <a:uFillTx/>
              <a:latin typeface="Calibri" panose="020F0502020204030204"/>
              <a:ea typeface="+mn-ea"/>
              <a:cs typeface="+mn-cs"/>
            </a:rPr>
            <a:t>Nota Importante</a:t>
          </a:r>
          <a:r>
            <a:rPr kumimoji="0" lang="es-ES" sz="1050" b="0" i="0" u="none" strike="noStrike" kern="0" cap="none" spc="0" normalizeH="0" baseline="0" noProof="0">
              <a:ln>
                <a:noFill/>
              </a:ln>
              <a:solidFill>
                <a:srgbClr val="FF0000"/>
              </a:solidFill>
              <a:effectLst/>
              <a:uLnTx/>
              <a:uFillTx/>
              <a:latin typeface="Calibri" panose="020F0502020204030204"/>
              <a:ea typeface="+mn-ea"/>
              <a:cs typeface="+mn-cs"/>
            </a:rPr>
            <a:t>: TODAS </a:t>
          </a:r>
          <a:r>
            <a:rPr kumimoji="0" lang="es-ES" sz="1050" b="0" i="0" u="none" strike="noStrike" kern="0" cap="none" spc="0" normalizeH="0" baseline="0" noProof="0">
              <a:ln>
                <a:noFill/>
              </a:ln>
              <a:solidFill>
                <a:sysClr val="windowText" lastClr="000000"/>
              </a:solidFill>
              <a:effectLst/>
              <a:uLnTx/>
              <a:uFillTx/>
              <a:latin typeface="Calibri" panose="020F0502020204030204"/>
              <a:ea typeface="+mn-ea"/>
              <a:cs typeface="+mn-cs"/>
            </a:rPr>
            <a:t>as celas desta páxina conteñen fórmulas que fan referencia a outras. Non procede introducir ningún dato numérico nesta folla. Os números mostrados calcúlanse de maneira automática</a:t>
          </a:r>
          <a:endParaRPr kumimoji="0" lang="es-ES" sz="1050" b="0" i="0" u="none" strike="noStrike" kern="0" cap="none" spc="0" normalizeH="0" baseline="0" noProof="0">
            <a:ln>
              <a:noFill/>
            </a:ln>
            <a:solidFill>
              <a:srgbClr val="FF0000"/>
            </a:solidFill>
            <a:effectLst/>
            <a:uLnTx/>
            <a:uFillTx/>
            <a:latin typeface="Calibri" panose="020F0502020204030204"/>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2</xdr:col>
      <xdr:colOff>69850</xdr:colOff>
      <xdr:row>17</xdr:row>
      <xdr:rowOff>19050</xdr:rowOff>
    </xdr:to>
    <xdr:sp macro="" textlink="">
      <xdr:nvSpPr>
        <xdr:cNvPr id="2" name="CuadroTexto 1">
          <a:extLst>
            <a:ext uri="{FF2B5EF4-FFF2-40B4-BE49-F238E27FC236}">
              <a16:creationId xmlns:a16="http://schemas.microsoft.com/office/drawing/2014/main" id="{4422069E-4AB8-4CE1-BCF2-86CAE0EF8391}"/>
            </a:ext>
          </a:extLst>
        </xdr:cNvPr>
        <xdr:cNvSpPr txBox="1"/>
      </xdr:nvSpPr>
      <xdr:spPr>
        <a:xfrm>
          <a:off x="0" y="2377440"/>
          <a:ext cx="1654810" cy="7505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050" u="sng">
              <a:solidFill>
                <a:srgbClr val="FF0000"/>
              </a:solidFill>
            </a:rPr>
            <a:t>Nota Importante</a:t>
          </a:r>
          <a:r>
            <a:rPr lang="es-ES" sz="1050">
              <a:solidFill>
                <a:srgbClr val="FF0000"/>
              </a:solidFill>
            </a:rPr>
            <a:t>: TODAS </a:t>
          </a:r>
          <a:r>
            <a:rPr lang="es-ES" sz="1050">
              <a:solidFill>
                <a:sysClr val="windowText" lastClr="000000"/>
              </a:solidFill>
            </a:rPr>
            <a:t>as</a:t>
          </a:r>
          <a:r>
            <a:rPr lang="es-ES" sz="1050" baseline="0">
              <a:solidFill>
                <a:sysClr val="windowText" lastClr="000000"/>
              </a:solidFill>
            </a:rPr>
            <a:t> celas desta páxina conteñen fórmulas que fan referencia a outras. Non procede introducir ningún dato numérico nesta folla. Os números mostrados calcúlanse, todos eles, de maneira automática</a:t>
          </a:r>
          <a:endParaRPr lang="es-ES" sz="1050">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16</xdr:row>
      <xdr:rowOff>0</xdr:rowOff>
    </xdr:from>
    <xdr:to>
      <xdr:col>1</xdr:col>
      <xdr:colOff>704850</xdr:colOff>
      <xdr:row>20</xdr:row>
      <xdr:rowOff>19050</xdr:rowOff>
    </xdr:to>
    <xdr:sp macro="" textlink="">
      <xdr:nvSpPr>
        <xdr:cNvPr id="2" name="CuadroTexto 1">
          <a:extLst>
            <a:ext uri="{FF2B5EF4-FFF2-40B4-BE49-F238E27FC236}">
              <a16:creationId xmlns:a16="http://schemas.microsoft.com/office/drawing/2014/main" id="{7BC1ED18-A432-48A3-893F-9A2C291094D5}"/>
            </a:ext>
          </a:extLst>
        </xdr:cNvPr>
        <xdr:cNvSpPr txBox="1"/>
      </xdr:nvSpPr>
      <xdr:spPr>
        <a:xfrm>
          <a:off x="0" y="2926080"/>
          <a:ext cx="1497330" cy="7505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050" u="sng">
              <a:solidFill>
                <a:srgbClr val="FF0000"/>
              </a:solidFill>
            </a:rPr>
            <a:t>Nota Importante</a:t>
          </a:r>
          <a:r>
            <a:rPr lang="es-ES" sz="1050">
              <a:solidFill>
                <a:srgbClr val="FF0000"/>
              </a:solidFill>
            </a:rPr>
            <a:t>: TODAS </a:t>
          </a:r>
          <a:r>
            <a:rPr lang="es-ES" sz="1050">
              <a:solidFill>
                <a:sysClr val="windowText" lastClr="000000"/>
              </a:solidFill>
            </a:rPr>
            <a:t>as</a:t>
          </a:r>
          <a:r>
            <a:rPr lang="es-ES" sz="1050" baseline="0">
              <a:solidFill>
                <a:sysClr val="windowText" lastClr="000000"/>
              </a:solidFill>
            </a:rPr>
            <a:t> celas desta páxina conteñen fórmulas que fan referencia a outras. Non procede introducir ningún dato numérico nesta folla. Os números mostrados calcúlanse, todos eles, de maneira automática</a:t>
          </a:r>
          <a:endParaRPr lang="es-ES" sz="1050">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586740</xdr:colOff>
      <xdr:row>1</xdr:row>
      <xdr:rowOff>137160</xdr:rowOff>
    </xdr:from>
    <xdr:to>
      <xdr:col>16</xdr:col>
      <xdr:colOff>213360</xdr:colOff>
      <xdr:row>9</xdr:row>
      <xdr:rowOff>99060</xdr:rowOff>
    </xdr:to>
    <xdr:sp macro="" textlink="">
      <xdr:nvSpPr>
        <xdr:cNvPr id="2" name="CuadroTexto 1">
          <a:extLst>
            <a:ext uri="{FF2B5EF4-FFF2-40B4-BE49-F238E27FC236}">
              <a16:creationId xmlns:a16="http://schemas.microsoft.com/office/drawing/2014/main" id="{FE94F55F-F734-4E16-BAED-DAD09C8342F4}"/>
            </a:ext>
          </a:extLst>
        </xdr:cNvPr>
        <xdr:cNvSpPr txBox="1"/>
      </xdr:nvSpPr>
      <xdr:spPr>
        <a:xfrm>
          <a:off x="5935980" y="320040"/>
          <a:ext cx="3787140" cy="142494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050" b="0" i="0" u="sng" strike="noStrike" kern="0" cap="none" spc="0" normalizeH="0" baseline="0" noProof="0">
              <a:ln>
                <a:noFill/>
              </a:ln>
              <a:solidFill>
                <a:srgbClr val="FF0000"/>
              </a:solidFill>
              <a:effectLst/>
              <a:uLnTx/>
              <a:uFillTx/>
              <a:latin typeface="Calibri" panose="020F0502020204030204"/>
              <a:ea typeface="+mn-ea"/>
              <a:cs typeface="+mn-cs"/>
            </a:rPr>
            <a:t>Nota Importante</a:t>
          </a:r>
          <a:r>
            <a:rPr kumimoji="0" lang="es-ES" sz="1050" b="0" i="0" u="none" strike="noStrike" kern="0" cap="none" spc="0" normalizeH="0" baseline="0" noProof="0">
              <a:ln>
                <a:noFill/>
              </a:ln>
              <a:solidFill>
                <a:srgbClr val="FF0000"/>
              </a:solidFill>
              <a:effectLst/>
              <a:uLnTx/>
              <a:uFillTx/>
              <a:latin typeface="Calibri" panose="020F0502020204030204"/>
              <a:ea typeface="+mn-ea"/>
              <a:cs typeface="+mn-cs"/>
            </a:rPr>
            <a:t>: TODAS </a:t>
          </a:r>
          <a:r>
            <a:rPr kumimoji="0" lang="es-ES" sz="1050" b="0" i="0" u="none" strike="noStrike" kern="0" cap="none" spc="0" normalizeH="0" baseline="0" noProof="0">
              <a:ln>
                <a:noFill/>
              </a:ln>
              <a:solidFill>
                <a:sysClr val="windowText" lastClr="000000"/>
              </a:solidFill>
              <a:effectLst/>
              <a:uLnTx/>
              <a:uFillTx/>
              <a:latin typeface="Calibri" panose="020F0502020204030204"/>
              <a:ea typeface="+mn-ea"/>
              <a:cs typeface="+mn-cs"/>
            </a:rPr>
            <a:t>as celas desta páxina conteñen fórmulas que fan referencia a outras. Non procede introducir ningún dato numérico nesta folla. Os números mostrados calcúlanse de maneira automática.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05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050" b="0" i="0" u="none" strike="noStrike" kern="0" cap="none" spc="0" normalizeH="0" baseline="0" noProof="0">
              <a:ln>
                <a:noFill/>
              </a:ln>
              <a:solidFill>
                <a:sysClr val="windowText" lastClr="000000"/>
              </a:solidFill>
              <a:effectLst/>
              <a:uLnTx/>
              <a:uFillTx/>
              <a:latin typeface="Calibri" panose="020F0502020204030204"/>
              <a:ea typeface="+mn-ea"/>
              <a:cs typeface="+mn-cs"/>
            </a:rPr>
            <a:t>É posible variar os consumos mensuais mínimo e máximo de cada socio individual, realizando a oportuna modificación no Libro Excel denominado Insumos_Plan_de_Negocio.xlsx.</a:t>
          </a:r>
          <a:endParaRPr kumimoji="0" lang="es-ES" sz="1050" b="0" i="0" u="none" strike="noStrike" kern="0" cap="none" spc="0" normalizeH="0" baseline="0" noProof="0">
            <a:ln>
              <a:noFill/>
            </a:ln>
            <a:solidFill>
              <a:srgbClr val="FF0000"/>
            </a:solidFill>
            <a:effectLst/>
            <a:uLnTx/>
            <a:uFillTx/>
            <a:latin typeface="Calibri" panose="020F0502020204030204"/>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19050</xdr:colOff>
      <xdr:row>2</xdr:row>
      <xdr:rowOff>19050</xdr:rowOff>
    </xdr:to>
    <xdr:sp macro="" textlink="">
      <xdr:nvSpPr>
        <xdr:cNvPr id="2" name="CuadroTexto 1">
          <a:extLst>
            <a:ext uri="{FF2B5EF4-FFF2-40B4-BE49-F238E27FC236}">
              <a16:creationId xmlns:a16="http://schemas.microsoft.com/office/drawing/2014/main" id="{98951387-FF98-43E7-9FCC-F28502C1519C}"/>
            </a:ext>
          </a:extLst>
        </xdr:cNvPr>
        <xdr:cNvSpPr txBox="1"/>
      </xdr:nvSpPr>
      <xdr:spPr>
        <a:xfrm>
          <a:off x="0" y="0"/>
          <a:ext cx="811530" cy="38481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050" b="0" i="0" u="sng" strike="noStrike" kern="0" cap="none" spc="0" normalizeH="0" baseline="0" noProof="0">
              <a:ln>
                <a:noFill/>
              </a:ln>
              <a:solidFill>
                <a:srgbClr val="FF0000"/>
              </a:solidFill>
              <a:effectLst/>
              <a:uLnTx/>
              <a:uFillTx/>
              <a:latin typeface="Calibri" panose="020F0502020204030204"/>
              <a:ea typeface="+mn-ea"/>
              <a:cs typeface="+mn-cs"/>
            </a:rPr>
            <a:t>Nota Importante</a:t>
          </a:r>
          <a:r>
            <a:rPr kumimoji="0" lang="es-ES" sz="1050" b="0" i="0" u="none" strike="noStrike" kern="0" cap="none" spc="0" normalizeH="0" baseline="0" noProof="0">
              <a:ln>
                <a:noFill/>
              </a:ln>
              <a:solidFill>
                <a:srgbClr val="FF0000"/>
              </a:solidFill>
              <a:effectLst/>
              <a:uLnTx/>
              <a:uFillTx/>
              <a:latin typeface="Calibri" panose="020F0502020204030204"/>
              <a:ea typeface="+mn-ea"/>
              <a:cs typeface="+mn-cs"/>
            </a:rPr>
            <a:t>: TODAS </a:t>
          </a:r>
          <a:r>
            <a:rPr kumimoji="0" lang="es-ES" sz="1050" b="0" i="0" u="none" strike="noStrike" kern="0" cap="none" spc="0" normalizeH="0" baseline="0" noProof="0">
              <a:ln>
                <a:noFill/>
              </a:ln>
              <a:solidFill>
                <a:sysClr val="windowText" lastClr="000000"/>
              </a:solidFill>
              <a:effectLst/>
              <a:uLnTx/>
              <a:uFillTx/>
              <a:latin typeface="Calibri" panose="020F0502020204030204"/>
              <a:ea typeface="+mn-ea"/>
              <a:cs typeface="+mn-cs"/>
            </a:rPr>
            <a:t>as celas desta páxina conteñen fórmulas que fan referencia a outras. Non procede introducir ningún dato numérico nesta folla. Os números mostrados calcúlanse de maneira automática</a:t>
          </a:r>
          <a:endParaRPr kumimoji="0" lang="es-ES" sz="1050" b="0" i="0" u="none" strike="noStrike" kern="0" cap="none" spc="0" normalizeH="0" baseline="0" noProof="0">
            <a:ln>
              <a:noFill/>
            </a:ln>
            <a:solidFill>
              <a:srgbClr val="FF0000"/>
            </a:solidFill>
            <a:effectLst/>
            <a:uLnTx/>
            <a:uFillTx/>
            <a:latin typeface="Calibri" panose="020F0502020204030204"/>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19050</xdr:colOff>
      <xdr:row>2</xdr:row>
      <xdr:rowOff>19050</xdr:rowOff>
    </xdr:to>
    <xdr:sp macro="" textlink="">
      <xdr:nvSpPr>
        <xdr:cNvPr id="2" name="CuadroTexto 1">
          <a:extLst>
            <a:ext uri="{FF2B5EF4-FFF2-40B4-BE49-F238E27FC236}">
              <a16:creationId xmlns:a16="http://schemas.microsoft.com/office/drawing/2014/main" id="{068A302A-9914-45A7-86E2-28467CEFDCD5}"/>
            </a:ext>
          </a:extLst>
        </xdr:cNvPr>
        <xdr:cNvSpPr txBox="1"/>
      </xdr:nvSpPr>
      <xdr:spPr>
        <a:xfrm>
          <a:off x="0" y="0"/>
          <a:ext cx="811530" cy="3848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050" u="sng">
              <a:solidFill>
                <a:srgbClr val="FF0000"/>
              </a:solidFill>
            </a:rPr>
            <a:t>Nota Importante</a:t>
          </a:r>
          <a:r>
            <a:rPr lang="es-ES" sz="1050">
              <a:solidFill>
                <a:srgbClr val="FF0000"/>
              </a:solidFill>
            </a:rPr>
            <a:t>: TODAS </a:t>
          </a:r>
          <a:r>
            <a:rPr lang="es-ES" sz="1050">
              <a:solidFill>
                <a:sysClr val="windowText" lastClr="000000"/>
              </a:solidFill>
            </a:rPr>
            <a:t>as</a:t>
          </a:r>
          <a:r>
            <a:rPr lang="es-ES" sz="1050" baseline="0">
              <a:solidFill>
                <a:sysClr val="windowText" lastClr="000000"/>
              </a:solidFill>
            </a:rPr>
            <a:t> celas desta páxina conteñen fórmulas que fan referencia a outras. Non procede introducir ningún dato numérico nesta folla. Os números mostrados calcúlanse de maneira automática</a:t>
          </a:r>
          <a:endParaRPr lang="es-ES" sz="1050">
            <a:solidFill>
              <a:srgbClr val="FF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12</xdr:row>
      <xdr:rowOff>0</xdr:rowOff>
    </xdr:from>
    <xdr:to>
      <xdr:col>2</xdr:col>
      <xdr:colOff>69850</xdr:colOff>
      <xdr:row>16</xdr:row>
      <xdr:rowOff>19050</xdr:rowOff>
    </xdr:to>
    <xdr:sp macro="" textlink="">
      <xdr:nvSpPr>
        <xdr:cNvPr id="2" name="CuadroTexto 1">
          <a:extLst>
            <a:ext uri="{FF2B5EF4-FFF2-40B4-BE49-F238E27FC236}">
              <a16:creationId xmlns:a16="http://schemas.microsoft.com/office/drawing/2014/main" id="{E721486D-08D0-449B-BB9C-2376A46C36FF}"/>
            </a:ext>
          </a:extLst>
        </xdr:cNvPr>
        <xdr:cNvSpPr txBox="1"/>
      </xdr:nvSpPr>
      <xdr:spPr>
        <a:xfrm>
          <a:off x="0" y="2194560"/>
          <a:ext cx="1654810" cy="7505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050" u="sng">
              <a:solidFill>
                <a:srgbClr val="FF0000"/>
              </a:solidFill>
            </a:rPr>
            <a:t>Nota Importante</a:t>
          </a:r>
          <a:r>
            <a:rPr lang="es-ES" sz="1050">
              <a:solidFill>
                <a:srgbClr val="FF0000"/>
              </a:solidFill>
            </a:rPr>
            <a:t>: TODAS </a:t>
          </a:r>
          <a:r>
            <a:rPr lang="es-ES" sz="1050">
              <a:solidFill>
                <a:sysClr val="windowText" lastClr="000000"/>
              </a:solidFill>
            </a:rPr>
            <a:t>as</a:t>
          </a:r>
          <a:r>
            <a:rPr lang="es-ES" sz="1050" baseline="0">
              <a:solidFill>
                <a:sysClr val="windowText" lastClr="000000"/>
              </a:solidFill>
            </a:rPr>
            <a:t> celas desta páxina conteñen fórmulas que fan referencia a outras. Non procede introducir ningún dato numérico nesta folla. Os números mostrados calcúlanse, todos eles, de maneira automática</a:t>
          </a:r>
          <a:endParaRPr lang="es-ES" sz="1050">
            <a:solidFill>
              <a:srgbClr val="FF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16</xdr:row>
      <xdr:rowOff>0</xdr:rowOff>
    </xdr:from>
    <xdr:to>
      <xdr:col>1</xdr:col>
      <xdr:colOff>704850</xdr:colOff>
      <xdr:row>20</xdr:row>
      <xdr:rowOff>19050</xdr:rowOff>
    </xdr:to>
    <xdr:sp macro="" textlink="">
      <xdr:nvSpPr>
        <xdr:cNvPr id="2" name="CuadroTexto 1">
          <a:extLst>
            <a:ext uri="{FF2B5EF4-FFF2-40B4-BE49-F238E27FC236}">
              <a16:creationId xmlns:a16="http://schemas.microsoft.com/office/drawing/2014/main" id="{0ECA0FF4-D242-4E7E-9DF0-FB8A464B7166}"/>
            </a:ext>
          </a:extLst>
        </xdr:cNvPr>
        <xdr:cNvSpPr txBox="1"/>
      </xdr:nvSpPr>
      <xdr:spPr>
        <a:xfrm>
          <a:off x="0" y="2926080"/>
          <a:ext cx="1497330" cy="7505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050" u="sng">
              <a:solidFill>
                <a:srgbClr val="FF0000"/>
              </a:solidFill>
            </a:rPr>
            <a:t>Nota Importante</a:t>
          </a:r>
          <a:r>
            <a:rPr lang="es-ES" sz="1050">
              <a:solidFill>
                <a:srgbClr val="FF0000"/>
              </a:solidFill>
            </a:rPr>
            <a:t>: TODAS </a:t>
          </a:r>
          <a:r>
            <a:rPr lang="es-ES" sz="1050">
              <a:solidFill>
                <a:sysClr val="windowText" lastClr="000000"/>
              </a:solidFill>
            </a:rPr>
            <a:t>as</a:t>
          </a:r>
          <a:r>
            <a:rPr lang="es-ES" sz="1050" baseline="0">
              <a:solidFill>
                <a:sysClr val="windowText" lastClr="000000"/>
              </a:solidFill>
            </a:rPr>
            <a:t> celas desta páxina conteñen fórmulas que fan referencia a outras. Non procede introducir ningún dato numérico nesta folla. Os números mostrados calcúlanse, todos eles, de maneira automática</a:t>
          </a:r>
          <a:endParaRPr lang="es-ES" sz="1050">
            <a:solidFill>
              <a:srgbClr val="FF0000"/>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XS" id="{9B6ABAFA-BF96-4687-8DDB-6850797B9550}" userId="XS" providerId="None"/>
  <person displayName="José Manuel Heredia Conde" id="{346655D5-DAC3-42DB-8064-FCC30CB73D19}" userId="S::jheredia@uvigo.gal::fa1c9387-269a-4bc8-8538-33a701d8d41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4D78FA9-9C8C-4750-99C7-5BBB211CA8B5}" name="tabIdiomas" displayName="tabIdiomas" ref="A1:E192" totalsRowShown="0" dataDxfId="76">
  <autoFilter ref="A1:E192" xr:uid="{84D78FA9-9C8C-4750-99C7-5BBB211CA8B5}"/>
  <tableColumns count="5">
    <tableColumn id="1" xr3:uid="{A7C844BD-D6E6-486E-A21C-8A1F089DF2FB}" name="Cadena" dataDxfId="75"/>
    <tableColumn id="2" xr3:uid="{EB91BD9E-0D03-4ADF-B605-9BA33738CA57}" name="Eestlane" dataDxfId="74"/>
    <tableColumn id="3" xr3:uid="{92E5B346-B2CE-44C9-961F-E30FD6490FA7}" name="English" dataDxfId="73"/>
    <tableColumn id="4" xr3:uid="{87D3575F-CCAA-498A-B485-9B9A0B2B61EF}" name="Español" dataDxfId="72"/>
    <tableColumn id="5" xr3:uid="{72186E95-4159-481C-BF0E-83A1D2E0CCC3}" name="Galego" dataDxfId="71">
      <calculatedColumnFormula>tabIdiomas[[#This Row],[Cadena]]</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62D6E80-6BA4-4EF7-B6E9-24B8E7A3431D}" name="tabRespPreg1" displayName="tabRespPreg1" ref="A2:B5" totalsRowShown="0">
  <autoFilter ref="A2:B5" xr:uid="{662D6E80-6BA4-4EF7-B6E9-24B8E7A3431D}"/>
  <tableColumns count="2">
    <tableColumn id="1" xr3:uid="{014B6B41-FB35-4A4E-BD8B-06774892E558}" name="Respuestas Pregunta"/>
    <tableColumn id="2" xr3:uid="{96E45F94-07EB-401A-B259-85E4FAFA61F7}" name="Opciones mostradas" dataDxfId="70">
      <calculatedColumnFormula>VLOOKUP(tabRespPreg1[[#This Row],[Respuestas Pregunta]],tabIdiomas[],MATCH('General Hipotheses (INTRO)'!$D$2,tabIdiomas[#Headers],0),FALSE)</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0000142-00FC-4DD5-BD27-5D480C4FF1C5}" name="tabRespPreg2" displayName="tabRespPreg2" ref="C2:D3" totalsRowShown="0">
  <autoFilter ref="C2:D3" xr:uid="{60000142-00FC-4DD5-BD27-5D480C4FF1C5}"/>
  <tableColumns count="2">
    <tableColumn id="1" xr3:uid="{E9FFD5AD-0325-4361-B0BB-0D62DCDDE029}" name="Respuestas Pregunta"/>
    <tableColumn id="2" xr3:uid="{59F2A18D-94C2-4A64-8FEF-B09B448909B6}" name="Opciones mostradas" dataDxfId="69">
      <calculatedColumnFormula>VLOOKUP(tabRespPreg2[[#This Row],[Respuestas Pregunta]],tabIdiomas[],MATCH('General Hipotheses (INTRO)'!$D$2,tabIdiomas[#Headers],0),FALSE)</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2059716-FE1E-48DF-A9F6-CFDDD800B6F4}" name="tabRespPreg24_1" displayName="tabRespPreg24_1" ref="E2:F6" totalsRowShown="0">
  <autoFilter ref="E2:F6" xr:uid="{82059716-FE1E-48DF-A9F6-CFDDD800B6F4}"/>
  <tableColumns count="2">
    <tableColumn id="1" xr3:uid="{8EBC15D3-108A-4DFB-A9B7-AC0BEF9DF569}" name="Respuestas Pregunta"/>
    <tableColumn id="2" xr3:uid="{119AB191-E759-4536-9649-FB20FF92176A}" name="Opciones mostradas" dataDxfId="68">
      <calculatedColumnFormula>VLOOKUP(tabRespPreg24_1[[#This Row],[Respuestas Pregunta]],tabIdiomas[],MATCH('General Hipotheses (INTRO)'!$D$2,tabIdiomas[#Headers],0),FALSE)</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627D0DD-346F-4EE1-A293-9DA1A2ACD142}" name="tabRespPreg15" displayName="tabRespPreg15" ref="G2:H4" totalsRowShown="0">
  <autoFilter ref="G2:H4" xr:uid="{0627D0DD-346F-4EE1-A293-9DA1A2ACD142}"/>
  <tableColumns count="2">
    <tableColumn id="1" xr3:uid="{BE9F0248-626F-48B0-A14A-DE3D55338A30}" name="Respuestas Pregunta"/>
    <tableColumn id="2" xr3:uid="{8FCA7B8B-F1A8-42C2-8101-804CE70003F2}" name="Opciones mostradas" dataDxfId="67">
      <calculatedColumnFormula>VLOOKUP(tabRespPreg15[[#This Row],[Respuestas Pregunta]],tabIdiomas[],MATCH('General Hipotheses (INTRO)'!$D$2,tabIdiomas[#Headers],0),FALSE)</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826475F-7C7A-49DF-B1B4-730AC5EA0C69}" name="tabRespPreg156" displayName="tabRespPreg156" ref="I2:J4" totalsRowShown="0">
  <autoFilter ref="I2:J4" xr:uid="{4826475F-7C7A-49DF-B1B4-730AC5EA0C69}"/>
  <tableColumns count="2">
    <tableColumn id="1" xr3:uid="{29FC7F94-B7CA-46C7-B2CF-F8D381BD162B}" name="Respuestas Pregunta"/>
    <tableColumn id="2" xr3:uid="{5F77F619-29B0-4F5E-B932-B565C4640D48}" name="Opciones mostradas" dataDxfId="66">
      <calculatedColumnFormula>VLOOKUP(tabRespPreg156[[#This Row],[Respuestas Pregunta]],tabIdiomas[],MATCH('General Hipotheses (INTRO)'!$D$2,tabIdiomas[#Headers],0),FALSE)</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CEAEFFD-825D-4EE2-B85F-D131F6FA4A23}" name="tabRespPreg1568" displayName="tabRespPreg1568" ref="K2:L4" totalsRowShown="0">
  <autoFilter ref="K2:L4" xr:uid="{7CEAEFFD-825D-4EE2-B85F-D131F6FA4A23}"/>
  <tableColumns count="2">
    <tableColumn id="1" xr3:uid="{0274483E-2367-489C-8C5E-D412265F9546}" name="Respuestas Pregunta"/>
    <tableColumn id="2" xr3:uid="{E40E8153-51AE-4C51-AAF6-F38C67E2FF9F}" name="Opciones mostradas" dataDxfId="65">
      <calculatedColumnFormula>VLOOKUP(tabRespPreg1568[[#This Row],[Respuestas Pregunta]],tabIdiomas[],MATCH('General Hipotheses (INTRO)'!$D$2,tabIdiomas[#Headers],0),FALSE)</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17E21C3-94BE-451A-A324-7500B9C7399A}" name="tabRespPreg1510" displayName="tabRespPreg1510" ref="M2:N4" totalsRowShown="0">
  <autoFilter ref="M2:N4" xr:uid="{917E21C3-94BE-451A-A324-7500B9C7399A}"/>
  <tableColumns count="2">
    <tableColumn id="1" xr3:uid="{5F0B5DA5-6091-43E6-A533-DC8C56C1C9EE}" name="Respuestas Pregunta"/>
    <tableColumn id="2" xr3:uid="{DFB352EA-4096-4FD5-B5DE-A6049298F508}" name="Opciones mostradas" dataDxfId="64">
      <calculatedColumnFormula>VLOOKUP(tabRespPreg1510[[#This Row],[Respuestas Pregunta]],tabIdiomas[],MATCH('General Hipotheses (INTRO)'!$D$2,tabIdiomas[#Headers],0),FALSE)</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AE6E998-40E9-4521-9255-B165559D58FC}" name="tabRespPreg112" displayName="tabRespPreg112" ref="O2:P5" totalsRowShown="0">
  <autoFilter ref="O2:P5" xr:uid="{5AE6E998-40E9-4521-9255-B165559D58FC}"/>
  <tableColumns count="2">
    <tableColumn id="1" xr3:uid="{91A1665E-670D-4417-B208-559593874366}" name="Respuestas Pregunta"/>
    <tableColumn id="2" xr3:uid="{857A28CE-2470-492F-B0BC-743F545B26ED}" name="Opciones mostradas" dataDxfId="63">
      <calculatedColumnFormula>VLOOKUP(tabRespPreg112[[#This Row],[Respuestas Pregunta]],tabIdiomas[],MATCH('General Hipotheses (INTRO)'!$D$2,tabIdiomas[#Headers],0),FALSE)</calculatedColumnFormula>
    </tableColum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EEDFBE8-FF1B-44D2-8486-074303068E68}" name="tabRespPreg151013" displayName="tabRespPreg151013" ref="Q2:R4" totalsRowShown="0">
  <autoFilter ref="Q2:R4" xr:uid="{3EEDFBE8-FF1B-44D2-8486-074303068E68}"/>
  <tableColumns count="2">
    <tableColumn id="1" xr3:uid="{090DE4E1-6328-4301-9FB9-CED1B2C7E75F}" name="Respuestas Pregunta"/>
    <tableColumn id="2" xr3:uid="{DD9EBBF3-7DA6-4F0D-B7CB-3C9D578B635D}" name="Opciones mostradas" dataDxfId="62">
      <calculatedColumnFormula>VLOOKUP(tabRespPreg151013[[#This Row],[Respuestas Pregunta]],tabIdiomas[],MATCH('General Hipotheses (INTRO)'!$D$2,tabIdiomas[#Headers],0),FALSE)</calculatedColumnFormula>
    </tableColumn>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3FA60D3-7C4A-44AC-943C-8EFC8F164094}" name="tabRespPreg15101314" displayName="tabRespPreg15101314" ref="S2:T4" totalsRowShown="0">
  <autoFilter ref="S2:T4" xr:uid="{43FA60D3-7C4A-44AC-943C-8EFC8F164094}"/>
  <tableColumns count="2">
    <tableColumn id="1" xr3:uid="{A8E2B471-4699-4D5C-8AA8-5A4BF0EF4AC7}" name="Respuestas Pregunta"/>
    <tableColumn id="2" xr3:uid="{2AB2AE92-96C0-4AC3-B18E-28CCAE77ADDE}" name="Opciones mostradas" dataDxfId="61">
      <calculatedColumnFormula>VLOOKUP(tabRespPreg15101314[[#This Row],[Respuestas Pregunta]],tabIdiomas[],MATCH('General Hipotheses (INTRO)'!$D$2,tabIdiomas[#Headers],0),FALSE)</calculatedColumnFormula>
    </tableColumn>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FFB4B85-B6D3-4D6D-90D9-7660D1C7E062}" name="tabRespPreg1510131415" displayName="tabRespPreg1510131415" ref="U2:V4" totalsRowShown="0">
  <autoFilter ref="U2:V4" xr:uid="{0FFB4B85-B6D3-4D6D-90D9-7660D1C7E062}"/>
  <tableColumns count="2">
    <tableColumn id="1" xr3:uid="{4CE5B347-6C55-498E-8770-A7EBBA1189E8}" name="Respuestas Pregunta"/>
    <tableColumn id="2" xr3:uid="{D5CAF9E4-5F0F-4EFE-92C3-34630DEFDF3C}" name="Opciones mostradas" dataDxfId="60">
      <calculatedColumnFormula>VLOOKUP(tabRespPreg1510131415[[#This Row],[Respuestas Pregunta]],tabIdiomas[],MATCH('General Hipotheses (INTRO)'!$D$2,tabIdiomas[#Headers],0),FALSE)</calculatedColumnFormula>
    </tableColumn>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2E3F59E-C1FC-461E-8AA0-22E1575ED0CC}" name="tabRespPreg1510131416" displayName="tabRespPreg1510131416" ref="W2:X4" totalsRowShown="0">
  <autoFilter ref="W2:X4" xr:uid="{D2E3F59E-C1FC-461E-8AA0-22E1575ED0CC}"/>
  <tableColumns count="2">
    <tableColumn id="1" xr3:uid="{CE60F734-44A6-4ECB-BFC4-80545F97ECB4}" name="Respuestas Pregunta"/>
    <tableColumn id="2" xr3:uid="{E033B153-E9C2-4FD2-898A-53BB867D36A8}" name="Opciones mostradas" dataDxfId="59">
      <calculatedColumnFormula>VLOOKUP(tabRespPreg1510131416[[#This Row],[Respuestas Pregunta]],tabIdiomas[],MATCH('General Hipotheses (INTRO)'!$D$2,tabIdiomas[#Headers],0),FALSE)</calculatedColumnFormula>
    </tableColumn>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BF72E97-79D0-4574-97CB-C7CF2C55B896}" name="tabRespPreg15101314169" displayName="tabRespPreg15101314169" ref="Y2:Z4" totalsRowShown="0">
  <autoFilter ref="Y2:Z4" xr:uid="{DBF72E97-79D0-4574-97CB-C7CF2C55B896}"/>
  <tableColumns count="2">
    <tableColumn id="1" xr3:uid="{4BA4ED1E-367F-4E78-8686-E593AB601B26}" name="Respuestas Pregunta"/>
    <tableColumn id="2" xr3:uid="{7A7EFAD4-A6F7-4190-8EA3-CABBE1B23CBE}" name="Opciones mostradas" dataDxfId="58">
      <calculatedColumnFormula>VLOOKUP(tabRespPreg15101314169[[#This Row],[Respuestas Pregunta]],tabIdiomas[],MATCH('General Hipotheses (INTRO)'!$D$2,tabIdiomas[#Headers],0),FALSE)</calculatedColumnFormula>
    </tableColumn>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0F9763B-27A4-48BD-8DEF-0BE3092A71A2}" name="tabRespPreg151013141611" displayName="tabRespPreg151013141611" ref="AA2:AB4" totalsRowShown="0">
  <autoFilter ref="AA2:AB4" xr:uid="{50F9763B-27A4-48BD-8DEF-0BE3092A71A2}"/>
  <tableColumns count="2">
    <tableColumn id="1" xr3:uid="{D62C12DA-A922-445F-A1D6-DE5ADA0BB082}" name="Respuestas Pregunta"/>
    <tableColumn id="2" xr3:uid="{45535CB1-B590-47A8-B08D-816B670ADCFB}" name="Opciones mostradas" dataDxfId="57">
      <calculatedColumnFormula>VLOOKUP(tabRespPreg151013141611[[#This Row],[Respuestas Pregunta]],tabIdiomas[],MATCH('General Hipotheses (INTRO)'!$D$2,tabIdiomas[#Headers],0),FALSE)</calculatedColumnFormula>
    </tableColumn>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6DCDD57B-A6B7-451C-AE7F-19B0AE2BDC23}" name="tabRespPreg15101314161117" displayName="tabRespPreg15101314161117" ref="AC2:AD4" totalsRowShown="0">
  <autoFilter ref="AC2:AD4" xr:uid="{6DCDD57B-A6B7-451C-AE7F-19B0AE2BDC23}"/>
  <tableColumns count="2">
    <tableColumn id="1" xr3:uid="{736D5042-8A9B-4B3A-87BF-C48445A9732F}" name="Respuestas Pregunta"/>
    <tableColumn id="2" xr3:uid="{48718249-410C-4559-B0F9-E210802CAE49}" name="Opciones mostradas" dataDxfId="56">
      <calculatedColumnFormula>VLOOKUP(tabRespPreg15101314161117[[#This Row],[Respuestas Pregunta]],tabIdiomas[],MATCH('General Hipotheses (INTRO)'!$D$2,tabIdiomas[#Headers],0),FALSE)</calculatedColumnFormula>
    </tableColumn>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29F2C99B-89A2-4761-82B0-713FDFBF5240}" name="tabRespPreg1510131416111718" displayName="tabRespPreg1510131416111718" ref="AE2:AF4" totalsRowShown="0">
  <autoFilter ref="AE2:AF4" xr:uid="{29F2C99B-89A2-4761-82B0-713FDFBF5240}"/>
  <tableColumns count="2">
    <tableColumn id="1" xr3:uid="{7BD6D8B4-2812-4D76-BD60-1AA37AE2EE54}" name="Respuestas Pregunta"/>
    <tableColumn id="2" xr3:uid="{D5E71468-FBD9-4D30-9068-312F3E66D7E5}" name="Opciones mostradas" dataDxfId="55">
      <calculatedColumnFormula>VLOOKUP(tabRespPreg1510131416111718[[#This Row],[Respuestas Pregunta]],tabIdiomas[],MATCH('General Hipotheses (INTRO)'!$D$2,tabIdiomas[#Headers],0),FALSE)</calculatedColumnFormula>
    </tableColumn>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D6AAA48C-E85C-4417-B240-0CEC8E61B3D7}" name="tabRespPreg151013141620" displayName="tabRespPreg151013141620" ref="AG2:AH4" totalsRowShown="0">
  <autoFilter ref="AG2:AH4" xr:uid="{D6AAA48C-E85C-4417-B240-0CEC8E61B3D7}"/>
  <tableColumns count="2">
    <tableColumn id="1" xr3:uid="{9068022E-27F1-40CF-BB95-8177970737EB}" name="Respuestas Pregunta"/>
    <tableColumn id="2" xr3:uid="{5BF9D7B4-14F9-46E6-A5C9-20E9C640E32C}" name="Opciones mostradas" dataDxfId="54">
      <calculatedColumnFormula>VLOOKUP(tabRespPreg151013141620[[#This Row],[Respuestas Pregunta]],tabIdiomas[],MATCH('General Hipotheses (INTRO)'!$D$2,tabIdiomas[#Headers],0),FALSE)</calculatedColumnFormula>
    </tableColumn>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F7C4AA5-3545-4849-B36D-35A09F6B2446}" name="tabRespPreg151013141611171819" displayName="tabRespPreg151013141611171819" ref="AI2:AJ4" totalsRowShown="0">
  <autoFilter ref="AI2:AJ4" xr:uid="{3F7C4AA5-3545-4849-B36D-35A09F6B2446}"/>
  <tableColumns count="2">
    <tableColumn id="1" xr3:uid="{FB149729-505B-433F-9332-2D9AB2C204A0}" name="Respuestas Pregunta"/>
    <tableColumn id="2" xr3:uid="{784E7910-D882-4F2D-B31D-8EA8CD1BA51D}" name="Opciones mostradas" dataDxfId="53">
      <calculatedColumnFormula>VLOOKUP(tabRespPreg151013141611171819[[#This Row],[Respuestas Pregunta]],tabIdiomas[],MATCH('General Hipotheses (INTRO)'!$D$2,tabIdiomas[#Headers],0),FALSE)</calculatedColumnFormula>
    </tableColumn>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86A6A3F1-3C04-4D36-BC65-EB891A1888F8}" name="tabRespPreg15101314161117181921" displayName="tabRespPreg15101314161117181921" ref="AK2:AL4" totalsRowShown="0">
  <autoFilter ref="AK2:AL4" xr:uid="{86A6A3F1-3C04-4D36-BC65-EB891A1888F8}"/>
  <tableColumns count="2">
    <tableColumn id="1" xr3:uid="{81C2DEAC-D658-42AA-BDE3-E73B2C9A8369}" name="Respuestas Pregunta"/>
    <tableColumn id="2" xr3:uid="{96421E0A-080F-4708-AC48-55B92A5FA0E6}" name="Opciones mostradas" dataDxfId="52">
      <calculatedColumnFormula>VLOOKUP(tabRespPreg15101314161117181921[[#This Row],[Respuestas Pregunta]],tabIdiomas[],MATCH('General Hipotheses (INTRO)'!$D$2,tabIdiomas[#Headers],0),FALSE)</calculatedColumnFormula>
    </tableColumn>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679C4C50-5B72-46AF-A315-D1E77B1A81AA}" name="tabRespPreg1510131416111718192122" displayName="tabRespPreg1510131416111718192122" ref="AM2:AN4" totalsRowShown="0">
  <autoFilter ref="AM2:AN4" xr:uid="{679C4C50-5B72-46AF-A315-D1E77B1A81AA}"/>
  <tableColumns count="2">
    <tableColumn id="1" xr3:uid="{CC998FBB-1B74-4EC2-9A35-972BE4E05C93}" name="Respuestas Pregunta"/>
    <tableColumn id="2" xr3:uid="{AFE4AAF7-45CE-4F47-8406-0D71B3F64927}" name="Opciones mostradas" dataDxfId="51">
      <calculatedColumnFormula>VLOOKUP(tabRespPreg1510131416111718192122[[#This Row],[Respuestas Pregunta]],tabIdiomas[],MATCH('General Hipotheses (INTRO)'!$D$2,tabIdiomas[#Headers],0),FALSE)</calculatedColumnFormula>
    </tableColumn>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8F7E8EF3-8295-43B8-9B1E-58C05AAF8F8B}" name="tabRespPreg151013141611171819212223" displayName="tabRespPreg151013141611171819212223" ref="AO2:AP4" totalsRowShown="0">
  <autoFilter ref="AO2:AP4" xr:uid="{8F7E8EF3-8295-43B8-9B1E-58C05AAF8F8B}"/>
  <tableColumns count="2">
    <tableColumn id="1" xr3:uid="{A9658846-FC15-4D8F-A5D6-6C72A7D9AAA8}" name="Respuestas Pregunta"/>
    <tableColumn id="2" xr3:uid="{EFDE4F35-90ED-43DA-B8CB-844165668F30}" name="Opciones mostradas" dataDxfId="50">
      <calculatedColumnFormula>VLOOKUP(tabRespPreg151013141611171819212223[[#This Row],[Respuestas Pregunta]],tabIdiomas[],MATCH('General Hipotheses (INTRO)'!$D$2,tabIdiomas[#Headers],0),FALSE)</calculatedColumnFormula>
    </tableColumn>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CC7A8519-BD9D-48C2-8622-183E44D8F1A7}" name="tabRespPreg15101314161117181921222324" displayName="tabRespPreg15101314161117181921222324" ref="AQ2:AR4" totalsRowShown="0">
  <autoFilter ref="AQ2:AR4" xr:uid="{CC7A8519-BD9D-48C2-8622-183E44D8F1A7}"/>
  <tableColumns count="2">
    <tableColumn id="1" xr3:uid="{7A977FD8-D8D4-46EC-ADF3-F443B06F9A54}" name="Respuestas Pregunta"/>
    <tableColumn id="2" xr3:uid="{301702BB-833E-4E4E-8C7D-1A0267C477BD}" name="Opciones mostradas" dataDxfId="49">
      <calculatedColumnFormula>VLOOKUP(tabRespPreg15101314161117181921222324[[#This Row],[Respuestas Pregunta]],tabIdiomas[],MATCH('General Hipotheses (INTRO)'!$D$2,tabIdiomas[#Headers],0),FALSE)</calculatedColumnFormula>
    </tableColumn>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2A4A69E5-7263-4B8C-954C-C9F9BCDC0F1E}" name="tabRespPreg1510131416111718192122232425" displayName="tabRespPreg1510131416111718192122232425" ref="AS2:AT4" totalsRowShown="0">
  <autoFilter ref="AS2:AT4" xr:uid="{2A4A69E5-7263-4B8C-954C-C9F9BCDC0F1E}"/>
  <tableColumns count="2">
    <tableColumn id="1" xr3:uid="{27EC6161-4DB1-4B7E-A594-4C2E65F32111}" name="Respuestas Pregunta"/>
    <tableColumn id="2" xr3:uid="{6E1D5A63-50E0-4E90-B5D8-08DB112EA023}" name="Opciones mostradas" dataDxfId="48">
      <calculatedColumnFormula>VLOOKUP(tabRespPreg1510131416111718192122232425[[#This Row],[Respuestas Pregunta]],tabIdiomas[],MATCH('General Hipotheses (INTRO)'!$D$2,tabIdiomas[#Headers],0),FALSE)</calculatedColumnFormula>
    </tableColumn>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62DF42B5-FE5F-4649-8DDC-577E5D839C55}" name="tabRespPreg11227" displayName="tabRespPreg11227" ref="AU2:AV5" totalsRowShown="0">
  <autoFilter ref="AU2:AV5" xr:uid="{62DF42B5-FE5F-4649-8DDC-577E5D839C55}"/>
  <tableColumns count="2">
    <tableColumn id="1" xr3:uid="{172EA38A-9B76-4EC6-BAC3-10D14FF4CE7E}" name="Respuestas Pregunta"/>
    <tableColumn id="2" xr3:uid="{770753B7-CC36-4881-8EE0-74A60A717BDE}" name="Opciones mostradas" dataDxfId="47">
      <calculatedColumnFormula>VLOOKUP(tabRespPreg11227[[#This Row],[Respuestas Pregunta]],tabIdiomas[],MATCH('General Hipotheses (INTRO)'!$D$2,tabIdiomas[#Headers],0),FALSE)</calculatedColumnFormula>
    </tableColumn>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B2519298-348A-461E-80DB-8A59D95BE134}" name="tabRespPreg151013141611171819212223242528" displayName="tabRespPreg151013141611171819212223242528" ref="AW2:AX4" totalsRowShown="0">
  <autoFilter ref="AW2:AX4" xr:uid="{B2519298-348A-461E-80DB-8A59D95BE134}"/>
  <tableColumns count="2">
    <tableColumn id="1" xr3:uid="{59B46896-D8E7-488C-A61A-3DD1F8F4B602}" name="Respuestas Pregunta"/>
    <tableColumn id="2" xr3:uid="{3775640E-B66C-4A7E-9531-06D18FBFF3FE}" name="Opciones mostradas" dataDxfId="46">
      <calculatedColumnFormula>VLOOKUP(tabRespPreg151013141611171819212223242528[[#This Row],[Respuestas Pregunta]],tabIdiomas[],MATCH('General Hipotheses (INTRO)'!$D$2,tabIdiomas[#Headers],0),FALSE)</calculatedColumnFormula>
    </tableColumn>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C676A0D1-292C-416F-891A-2DF6166E6462}" name="tabRespPreg1122729" displayName="tabRespPreg1122729" ref="AY2:AZ5" totalsRowShown="0">
  <autoFilter ref="AY2:AZ5" xr:uid="{C676A0D1-292C-416F-891A-2DF6166E6462}"/>
  <tableColumns count="2">
    <tableColumn id="1" xr3:uid="{EA237868-4490-412B-A1BC-45C0A5DFF163}" name="Respuestas Pregunta"/>
    <tableColumn id="2" xr3:uid="{819FD1D5-3A6E-45C6-8CF0-A0EB3FBBE72B}" name="Opciones mostradas" dataDxfId="45">
      <calculatedColumnFormula>VLOOKUP(tabRespPreg1122729[[#This Row],[Respuestas Pregunta]],tabIdiomas[],MATCH('General Hipotheses (INTRO)'!$D$2,tabIdiomas[#Headers],0),FALSE)</calculatedColumnFormula>
    </tableColumn>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4B2E2599-5D71-4D89-85E0-9BEA13E5AB10}" name="tabIdiomas26" displayName="tabIdiomas26" ref="A1:E343" totalsRowShown="0" dataDxfId="44">
  <autoFilter ref="A1:E343" xr:uid="{84D78FA9-9C8C-4750-99C7-5BBB211CA8B5}"/>
  <tableColumns count="5">
    <tableColumn id="1" xr3:uid="{DCC7C995-955F-4CA0-8C8D-1D6B8D4D309C}" name="Cadena" dataDxfId="43"/>
    <tableColumn id="2" xr3:uid="{2D3DAC56-AC8D-4CB9-803A-7FE169B4C541}" name="Eestlane" dataDxfId="42"/>
    <tableColumn id="3" xr3:uid="{9974A578-E916-474C-80CD-0F18B7C65412}" name="English" dataDxfId="41"/>
    <tableColumn id="4" xr3:uid="{47102534-3D25-4288-AAA2-A117704634E0}" name="Español" dataDxfId="40"/>
    <tableColumn id="5" xr3:uid="{8ED57905-E4E9-4D6F-95AC-ED9819ECF080}" name="Galego" dataDxfId="39">
      <calculatedColumnFormula>tabIdiomas26[[#This Row],[Cadena]]</calculatedColumnFormula>
    </tableColumn>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BB213BAA-BA6A-41BD-80C2-485B7D5ADBA3}" name="tabRespPreg130" displayName="tabRespPreg130" ref="A2:B5" totalsRowShown="0">
  <autoFilter ref="A2:B5" xr:uid="{662D6E80-6BA4-4EF7-B6E9-24B8E7A3431D}"/>
  <tableColumns count="2">
    <tableColumn id="1" xr3:uid="{20CB834C-A970-44A7-92F1-B63001927E52}" name="Respuestas Pregunta"/>
    <tableColumn id="2" xr3:uid="{5482AA8C-C8A2-4DAC-8501-BBF8DC718689}" name="Opciones mostradas" dataDxfId="38">
      <calculatedColumnFormula>VLOOKUP(tabRespPreg130[[#This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51971670-3171-4B7D-9BFA-8F626F51BBE6}" name="tabRespPreg231" displayName="tabRespPreg231" ref="C2:D3" totalsRowShown="0">
  <autoFilter ref="C2:D3" xr:uid="{60000142-00FC-4DD5-BD27-5D480C4FF1C5}"/>
  <tableColumns count="2">
    <tableColumn id="1" xr3:uid="{F7C9AE5C-A24A-42CC-94AB-51D5DC7A9E62}" name="Respuestas Pregunta"/>
    <tableColumn id="2" xr3:uid="{1F7F6C21-E985-4C5D-BB62-E6B797C2442A}" name="Opciones mostradas" dataDxfId="37">
      <calculatedColumnFormula>VLOOKUP(tabRespPreg231[[#This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5BB07D72-0687-4E32-8CB9-EDEF7EF92D9E}" name="tabRespPreg24_132" displayName="tabRespPreg24_132" ref="E2:F6" totalsRowShown="0">
  <autoFilter ref="E2:F6" xr:uid="{82059716-FE1E-48DF-A9F6-CFDDD800B6F4}"/>
  <tableColumns count="2">
    <tableColumn id="1" xr3:uid="{6A396697-5C57-4152-BF82-EF8B47393F1A}" name="Respuestas Pregunta"/>
    <tableColumn id="2" xr3:uid="{7BAF8115-6558-410D-8D40-5FF06B7FECDF}" name="Opciones mostradas" dataDxfId="36">
      <calculatedColumnFormula>VLOOKUP(tabRespPreg24_132[[#This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42BA8C4F-BDCF-4B04-AE39-291179907F70}" name="tabRespPreg1533" displayName="tabRespPreg1533" ref="G2:H4" totalsRowShown="0">
  <autoFilter ref="G2:H4" xr:uid="{0627D0DD-346F-4EE1-A293-9DA1A2ACD142}"/>
  <tableColumns count="2">
    <tableColumn id="1" xr3:uid="{A3CC15B8-F203-4CAB-9377-970CD12165BD}" name="Respuestas Pregunta"/>
    <tableColumn id="2" xr3:uid="{2049CE3E-7BBC-4EB3-8938-57ECBD84CF3C}" name="Opciones mostradas" dataDxfId="35">
      <calculatedColumnFormula>VLOOKUP(tabRespPreg1533[[#This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D369F9C0-2FF8-4716-AB48-5FCACDD51699}" name="tabRespPreg15634" displayName="tabRespPreg15634" ref="I2:J4" totalsRowShown="0">
  <autoFilter ref="I2:J4" xr:uid="{4826475F-7C7A-49DF-B1B4-730AC5EA0C69}"/>
  <tableColumns count="2">
    <tableColumn id="1" xr3:uid="{4635B601-9C7D-4C27-9EAC-88533560C8A3}" name="Respuestas Pregunta"/>
    <tableColumn id="2" xr3:uid="{FC5124D5-6617-4FC8-A157-B3BA020ADCED}" name="Opciones mostradas" dataDxfId="34">
      <calculatedColumnFormula>VLOOKUP(tabRespPreg15634[[#This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7EA953BF-6557-472F-948F-B58921E02859}" name="tabRespPreg156835" displayName="tabRespPreg156835" ref="K2:L4" totalsRowShown="0">
  <autoFilter ref="K2:L4" xr:uid="{7CEAEFFD-825D-4EE2-B85F-D131F6FA4A23}"/>
  <tableColumns count="2">
    <tableColumn id="1" xr3:uid="{D5B1D31A-76E3-44C9-B437-7FA82FE23361}" name="Respuestas Pregunta"/>
    <tableColumn id="2" xr3:uid="{288AC7CB-9E4A-4587-A201-0BB74DF0A7B0}" name="Opciones mostradas" dataDxfId="33">
      <calculatedColumnFormula>VLOOKUP(tabRespPreg156835[[#This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AB145FE1-A324-4C07-A75C-8D37AA6C0440}" name="tabRespPreg151036" displayName="tabRespPreg151036" ref="M2:N4" totalsRowShown="0">
  <autoFilter ref="M2:N4" xr:uid="{917E21C3-94BE-451A-A324-7500B9C7399A}"/>
  <tableColumns count="2">
    <tableColumn id="1" xr3:uid="{FFB18BBC-E285-43AD-80A8-F3425FCA16F5}" name="Respuestas Pregunta"/>
    <tableColumn id="2" xr3:uid="{14A50ED4-DE0D-4A40-A5CE-DB48FF41070D}" name="Opciones mostradas" dataDxfId="32">
      <calculatedColumnFormula>VLOOKUP(tabRespPreg151036[[#This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117894B7-06D4-46C4-ACF5-F86540D3F32D}" name="tabRespPreg11237" displayName="tabRespPreg11237" ref="O2:P5" totalsRowShown="0">
  <autoFilter ref="O2:P5" xr:uid="{5AE6E998-40E9-4521-9255-B165559D58FC}"/>
  <tableColumns count="2">
    <tableColumn id="1" xr3:uid="{C6047133-CBC7-4D78-9B5A-595AB2262566}" name="Respuestas Pregunta"/>
    <tableColumn id="2" xr3:uid="{F4BD95BA-51A6-4F62-BA68-116B8E867627}" name="Opciones mostradas" dataDxfId="31">
      <calculatedColumnFormula>VLOOKUP(tabRespPreg11237[[#This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CC02F029-527A-45EA-B19F-C0E8CB305DC5}" name="tabRespPreg15101338" displayName="tabRespPreg15101338" ref="Q2:R4" totalsRowShown="0">
  <autoFilter ref="Q2:R4" xr:uid="{3EEDFBE8-FF1B-44D2-8486-074303068E68}"/>
  <tableColumns count="2">
    <tableColumn id="1" xr3:uid="{596CBAE5-EF29-4690-A9C4-10F2FC6DAAD6}" name="Respuestas Pregunta"/>
    <tableColumn id="2" xr3:uid="{2AAEE387-0019-4B09-8277-8F4694478E06}" name="Opciones mostradas" dataDxfId="30">
      <calculatedColumnFormula>VLOOKUP(tabRespPreg15101338[[#This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3A3B47CE-5151-4E67-BBE8-7F1BA34F54DB}" name="tabRespPreg1510131439" displayName="tabRespPreg1510131439" ref="S2:T4" totalsRowShown="0">
  <autoFilter ref="S2:T4" xr:uid="{43FA60D3-7C4A-44AC-943C-8EFC8F164094}"/>
  <tableColumns count="2">
    <tableColumn id="1" xr3:uid="{42E2F411-1B69-41E7-B2D5-922C794E29F9}" name="Respuestas Pregunta"/>
    <tableColumn id="2" xr3:uid="{1239A9A2-8B9E-4F7E-AEC4-F299543B3FAE}" name="Opciones mostradas" dataDxfId="29">
      <calculatedColumnFormula>VLOOKUP(tabRespPreg1510131439[[#This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D1CAE037-84A7-4D55-B0FB-439978B7B8EB}" name="tabRespPreg151013141540" displayName="tabRespPreg151013141540" ref="U2:V4" totalsRowShown="0">
  <autoFilter ref="U2:V4" xr:uid="{0FFB4B85-B6D3-4D6D-90D9-7660D1C7E062}"/>
  <tableColumns count="2">
    <tableColumn id="1" xr3:uid="{76BD43EE-CC72-45DC-90A2-32FB507A64B8}" name="Respuestas Pregunta"/>
    <tableColumn id="2" xr3:uid="{281AD86E-3284-4EDE-BE98-E08AAD6996A3}" name="Opciones mostradas" dataDxfId="28">
      <calculatedColumnFormula>VLOOKUP(tabRespPreg151013141540[[#This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CA889D50-CE56-47EA-BAD4-7F54D0EBD1E7}" name="tabRespPreg151013141641" displayName="tabRespPreg151013141641" ref="W2:X4" totalsRowShown="0">
  <autoFilter ref="W2:X4" xr:uid="{D2E3F59E-C1FC-461E-8AA0-22E1575ED0CC}"/>
  <tableColumns count="2">
    <tableColumn id="1" xr3:uid="{2D389D08-0519-44DF-AE68-A923C50330AF}" name="Respuestas Pregunta"/>
    <tableColumn id="2" xr3:uid="{647C6005-18C4-42B8-9B07-52177C26E48A}" name="Opciones mostradas" dataDxfId="27">
      <calculatedColumnFormula>VLOOKUP(tabRespPreg151013141641[[#This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55DB19B4-3924-4CB1-8FD7-A4A9C52AC3DC}" name="tabRespPreg1510131416942" displayName="tabRespPreg1510131416942" ref="Y2:Z4" totalsRowShown="0">
  <autoFilter ref="Y2:Z4" xr:uid="{DBF72E97-79D0-4574-97CB-C7CF2C55B896}"/>
  <tableColumns count="2">
    <tableColumn id="1" xr3:uid="{300D4235-1B78-4E4B-9833-14288E5487B6}" name="Respuestas Pregunta"/>
    <tableColumn id="2" xr3:uid="{3BE7AE53-735E-4E10-8BCA-71F437AAADB5}" name="Opciones mostradas" dataDxfId="26">
      <calculatedColumnFormula>VLOOKUP(tabRespPreg1510131416942[[#This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3A22248F-43B0-4161-BC12-287ED449E8B0}" name="tabRespPreg15101314161143" displayName="tabRespPreg15101314161143" ref="AA2:AB4" totalsRowShown="0">
  <autoFilter ref="AA2:AB4" xr:uid="{50F9763B-27A4-48BD-8DEF-0BE3092A71A2}"/>
  <tableColumns count="2">
    <tableColumn id="1" xr3:uid="{C313C3B0-56BB-4834-A110-789012F4F8E6}" name="Respuestas Pregunta"/>
    <tableColumn id="2" xr3:uid="{39A22809-3D9E-4B39-B2E8-ADCABF739C36}" name="Opciones mostradas" dataDxfId="25">
      <calculatedColumnFormula>VLOOKUP(tabRespPreg15101314161143[[#This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94F1219C-EB19-4B97-B2BB-C2AFCB879CFA}" name="tabRespPreg1510131416111744" displayName="tabRespPreg1510131416111744" ref="AC2:AD4" totalsRowShown="0">
  <autoFilter ref="AC2:AD4" xr:uid="{6DCDD57B-A6B7-451C-AE7F-19B0AE2BDC23}"/>
  <tableColumns count="2">
    <tableColumn id="1" xr3:uid="{F9DFA089-ECC3-4A2F-A066-907185C9C2A5}" name="Respuestas Pregunta"/>
    <tableColumn id="2" xr3:uid="{86FE3959-E33F-4838-8376-192A40EEAF4A}" name="Opciones mostradas" dataDxfId="24">
      <calculatedColumnFormula>VLOOKUP(tabRespPreg1510131416111744[[#This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A3B38A-65A2-4052-B43C-20319C99F111}" name="tabRespPreg151013141611171845" displayName="tabRespPreg151013141611171845" ref="AE2:AF4" totalsRowShown="0">
  <autoFilter ref="AE2:AF4" xr:uid="{29F2C99B-89A2-4761-82B0-713FDFBF5240}"/>
  <tableColumns count="2">
    <tableColumn id="1" xr3:uid="{76528E8C-1F12-4277-950F-E81A99338499}" name="Respuestas Pregunta"/>
    <tableColumn id="2" xr3:uid="{979A4CB4-F93E-41EC-BD6F-E6709A6867EB}" name="Opciones mostradas" dataDxfId="23">
      <calculatedColumnFormula>VLOOKUP(tabRespPreg151013141611171845[[#This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550FC5BE-244E-442B-AD04-BD79298B0115}" name="tabRespPreg15101314162046" displayName="tabRespPreg15101314162046" ref="AG2:AH4" totalsRowShown="0">
  <autoFilter ref="AG2:AH4" xr:uid="{D6AAA48C-E85C-4417-B240-0CEC8E61B3D7}"/>
  <tableColumns count="2">
    <tableColumn id="1" xr3:uid="{7DFA0964-D1CA-445C-B557-286A5EEB59BD}" name="Respuestas Pregunta"/>
    <tableColumn id="2" xr3:uid="{8422AB3D-731D-4CCC-8FC9-BBCF05F826FE}" name="Opciones mostradas" dataDxfId="22">
      <calculatedColumnFormula>VLOOKUP(tabRespPreg15101314162046[[#This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A01016CC-BA34-426A-BA43-03212F78CA6C}" name="tabRespPreg15101314161117181947" displayName="tabRespPreg15101314161117181947" ref="AI2:AJ4" totalsRowShown="0">
  <autoFilter ref="AI2:AJ4" xr:uid="{3F7C4AA5-3545-4849-B36D-35A09F6B2446}"/>
  <tableColumns count="2">
    <tableColumn id="1" xr3:uid="{FC968BE8-637E-426A-A932-162827142063}" name="Respuestas Pregunta"/>
    <tableColumn id="2" xr3:uid="{9882EF59-3C4E-4DBE-A17B-69FDE8734BC6}" name="Opciones mostradas" dataDxfId="21">
      <calculatedColumnFormula>VLOOKUP(tabRespPreg15101314161117181947[[#This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5D1B0913-DDB7-46A0-A589-AE36028445D8}" name="tabRespPreg1510131416111718192148" displayName="tabRespPreg1510131416111718192148" ref="AK2:AL4" totalsRowShown="0">
  <autoFilter ref="AK2:AL4" xr:uid="{86A6A3F1-3C04-4D36-BC65-EB891A1888F8}"/>
  <tableColumns count="2">
    <tableColumn id="1" xr3:uid="{962FE722-236A-42FE-AE58-A651AD6347E3}" name="Respuestas Pregunta"/>
    <tableColumn id="2" xr3:uid="{5C2F6580-F52E-4F2D-91E5-D8672E30B850}" name="Opciones mostradas" dataDxfId="20">
      <calculatedColumnFormula>VLOOKUP(tabRespPreg1510131416111718192148[[#This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FFFCEBBD-A6B5-4537-962C-3DA60A608FAD}" name="tabRespPreg151013141611171819212249" displayName="tabRespPreg151013141611171819212249" ref="AM2:AN4" totalsRowShown="0">
  <autoFilter ref="AM2:AN4" xr:uid="{679C4C50-5B72-46AF-A315-D1E77B1A81AA}"/>
  <tableColumns count="2">
    <tableColumn id="1" xr3:uid="{87D8A269-7DBC-4841-A236-3625F9EB32A4}" name="Respuestas Pregunta"/>
    <tableColumn id="2" xr3:uid="{70DE756E-04A3-496A-9D8B-6CA57D1081E3}" name="Opciones mostradas" dataDxfId="19">
      <calculatedColumnFormula>VLOOKUP(tabRespPreg151013141611171819212249[[#This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85045CAD-13F3-411F-B34E-3DCF2F462E50}" name="tabRespPreg15101314161117181921222350" displayName="tabRespPreg15101314161117181921222350" ref="AO2:AP4" totalsRowShown="0">
  <autoFilter ref="AO2:AP4" xr:uid="{8F7E8EF3-8295-43B8-9B1E-58C05AAF8F8B}"/>
  <tableColumns count="2">
    <tableColumn id="1" xr3:uid="{581F2D2F-7362-4C0F-890A-80B8272236B5}" name="Respuestas Pregunta"/>
    <tableColumn id="2" xr3:uid="{69D62834-5B3F-41E5-AA61-5D178A56D3C0}" name="Opciones mostradas" dataDxfId="18">
      <calculatedColumnFormula>VLOOKUP(tabRespPreg15101314161117181921222350[[#This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4B502D7A-7F8E-4B63-BD2F-C333BDC73733}" name="tabRespPreg1510131416111718192122232451" displayName="tabRespPreg1510131416111718192122232451" ref="AQ2:AR4" totalsRowShown="0">
  <autoFilter ref="AQ2:AR4" xr:uid="{CC7A8519-BD9D-48C2-8622-183E44D8F1A7}"/>
  <tableColumns count="2">
    <tableColumn id="1" xr3:uid="{CAA87A8F-DCDD-4BA9-821D-D6BCD320D9CE}" name="Respuestas Pregunta"/>
    <tableColumn id="2" xr3:uid="{B532879B-284D-4A65-B59F-BAA1FE763BB3}" name="Opciones mostradas" dataDxfId="17">
      <calculatedColumnFormula>VLOOKUP(tabRespPreg1510131416111718192122232451[[#This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4B476288-0BB7-459F-B7AA-B27975831811}" name="tabRespPreg151013141611171819212223242552" displayName="tabRespPreg151013141611171819212223242552" ref="AS2:AT4" totalsRowShown="0">
  <autoFilter ref="AS2:AT4" xr:uid="{2A4A69E5-7263-4B8C-954C-C9F9BCDC0F1E}"/>
  <tableColumns count="2">
    <tableColumn id="1" xr3:uid="{EAB1D0A0-97E9-4151-B950-D3D69DF6B10A}" name="Respuestas Pregunta"/>
    <tableColumn id="2" xr3:uid="{B3FDFA3B-0771-43E6-8932-5F110BDAC82C}" name="Opciones mostradas" dataDxfId="16">
      <calculatedColumnFormula>VLOOKUP(tabRespPreg151013141611171819212223242552[[#This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E8464639-E340-4261-A020-A83902B23134}" name="tabRespPreg1122753" displayName="tabRespPreg1122753" ref="AU2:AV5" totalsRowShown="0">
  <autoFilter ref="AU2:AV5" xr:uid="{62DF42B5-FE5F-4649-8DDC-577E5D839C55}"/>
  <tableColumns count="2">
    <tableColumn id="1" xr3:uid="{CEB60C6E-8488-4FE5-BEED-05711F19D3C3}" name="Respuestas Pregunta"/>
    <tableColumn id="2" xr3:uid="{AFCC95E5-4430-4F4E-B09B-4D4CBE6EDA96}" name="Opciones mostradas" dataDxfId="15">
      <calculatedColumnFormula>VLOOKUP(tabRespPreg1122753[[#This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911865DC-D167-40E7-B818-1918FB7EE040}" name="tabRespPreg15101314161117181921222324252854" displayName="tabRespPreg15101314161117181921222324252854" ref="AW2:AX4" totalsRowShown="0">
  <autoFilter ref="AW2:AX4" xr:uid="{B2519298-348A-461E-80DB-8A59D95BE134}"/>
  <tableColumns count="2">
    <tableColumn id="1" xr3:uid="{923A9CCF-F9DD-477D-A7E5-840CE5D797BB}" name="Respuestas Pregunta"/>
    <tableColumn id="2" xr3:uid="{EF458626-EA5B-4073-8F8A-6D2FBD4CF1D9}" name="Opciones mostradas" dataDxfId="14">
      <calculatedColumnFormula>VLOOKUP(tabRespPreg15101314161117181921222324252854[[#This Row],[Respuestas Pregunta]],tabIdiomas[#Data],MATCH('General Hipotheses (INTRO)'!$D$2,tabIdiomas[#Headers],0),FALSE)</calculatedColumnFormula>
    </tableColumn>
  </tableColumns>
  <tableStyleInfo name="TableStyleMedium2"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9AB7D681-DFDE-413D-9CD9-4F5D402E1CE0}" name="tabRespPreg112272955" displayName="tabRespPreg112272955" ref="AY2:AZ5" totalsRowShown="0">
  <autoFilter ref="AY2:AZ5" xr:uid="{C676A0D1-292C-416F-891A-2DF6166E6462}"/>
  <tableColumns count="2">
    <tableColumn id="1" xr3:uid="{F2A8D4B7-70A7-4B8D-B1F6-B1F16D632694}" name="Respuestas Pregunta"/>
    <tableColumn id="2" xr3:uid="{D14541B3-E7F3-4CAF-996B-DA1676D5F82C}" name="Opciones mostradas" dataDxfId="13">
      <calculatedColumnFormula>VLOOKUP(tabRespPreg112272955[[#This Row],[Respuestas Pregunta]],tabIdiomas[#Data],MATCH('General Hipotheses (INTRO)'!$D$2,tabIdiomas[#Headers],0),FALSE)</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6" dT="2024-05-08T09:52:07.82" personId="{346655D5-DAC3-42DB-8064-FCC30CB73D19}" id="{AF6D60E1-4E03-4460-84BE-620F63C96FDA}">
    <text>A superficie precisa para a instalación de corredores entre as instalacións de xeración colocadas sobre o terreo estímase en 0,5 m2 por cada dúas ringleiras de placas fotovoltaicas.</text>
  </threadedComment>
  <threadedComment ref="C20" dT="2024-05-08T10:25:35.73" personId="{346655D5-DAC3-42DB-8064-FCC30CB73D19}" id="{66A72542-B0D2-4553-A9E3-75032F9B36E1}">
    <text>Consideramos un prezo de mercado da electricidade de 0,10€ por KWh (100€/MWh), por ser o limiar inferior dos propostos como referencia na reunión de 08/05/2024 con Sapiens Energia, sendo o limiar superior 0,12€/KWh.
Anteriormente, considerábase o prezo medio de mercado no ano 2023, de 88,97 € por MWh.</text>
  </threadedComment>
  <threadedComment ref="F30" dT="2024-04-22T07:03:59.41" personId="{346655D5-DAC3-42DB-8064-FCC30CB73D19}" id="{8E2F8832-64D3-4823-A9D7-8E5783A5AB1D}">
    <text>Valor de Referencia Aproximado: 0,50€/Mes.</text>
  </threadedComment>
  <threadedComment ref="B34" dT="2024-04-23T09:03:05.94" personId="{346655D5-DAC3-42DB-8064-FCC30CB73D19}" id="{5D6E1EF0-5F72-4E86-97C0-FCD885B7CE14}">
    <text>Esta elección só ten impacto para o cálculo do Estado de Fluxos de Efectivo (Fluxo de Caixa, Folla Actual do Libro Excel).
O impacto é o seguinte: Se seleccionamos Si, incluimos o valor da enerxía producida como ingreso que si xera un fluxo (pseudo-monetario). Se así o facemos, non se corrixe o resultado de explotación para excluír do mesmo o valor da enerxía xerada. Agora ben, para reflectir que este valor non fica na entidade senón que é transmitido aos seus socios, ao seleccionar 'Si' engádese un dividendo polo mesmo valor da enerxía xerada que se considerou ingreso.
No caso oposto, se seleccionamos nesta cela Inclusión do Valor da Enerxía Producida = Non, corríxese o resultado de explotación para excluír directamente do mesmo o valor da enerxía (Primeira ringleira baixo a de resultado de explotación). En contrapartida, ademáis, o dividendo a favor dos accionistas toma valor cero.</text>
  </threadedComment>
</ThreadedComments>
</file>

<file path=xl/threadedComments/threadedComment2.xml><?xml version="1.0" encoding="utf-8"?>
<ThreadedComments xmlns="http://schemas.microsoft.com/office/spreadsheetml/2018/threadedcomments" xmlns:x="http://schemas.openxmlformats.org/spreadsheetml/2006/main">
  <threadedComment ref="C16" dT="2024-04-18T16:33:37.42" personId="{346655D5-DAC3-42DB-8064-FCC30CB73D19}" id="{D3BABB68-DF78-4851-B760-228452AD0F07}">
    <text>Reducimos as unidades de persoal ata 0,125 (1 hora ao día; 5 á semana) para atender ás labores propias da xestión da Comunidade.</text>
  </threadedComment>
  <threadedComment ref="D25" dT="2024-05-08T11:27:21.50" personId="{346655D5-DAC3-42DB-8064-FCC30CB73D19}" id="{A21065AE-FC24-41AD-9D6F-30F53E1CC08F}">
    <text>En coherencia co mencionado no comentario sobre as Unidades, o Valor Unitario quedaría aquí definido como a retribución bruta anual por metro cadrado de terreo cedido para emprazar as instalacións enerxéticas.
Establecemos un valor unitario de 1,2 que supón 12€ anuais (1€ ao mes) por cada 10 metros cadrados de terreo cedido.</text>
  </threadedComment>
  <threadedComment ref="E60" dT="2024-02-29T08:34:43.82" personId="{9B6ABAFA-BF96-4687-8DDB-6850797B9550}" id="{E4204989-631F-44FB-AAEB-C483E076EB0C}">
    <text>Comprobar que pasa con CE con autoconsumo</text>
  </threadedComment>
  <threadedComment ref="E60" dT="2024-02-29T13:39:51.19" personId="{346655D5-DAC3-42DB-8064-FCC30CB73D19}" id="{E8343C3E-8839-4F57-A8C6-54FFC396025A}" parentId="{E4204989-631F-44FB-AAEB-C483E076EB0C}">
    <text>Vincúlase o valor da 'cota íntegra', no relativo á garantía, á necesidade ou non de prestación da mesma, que se incorpora como variable na Folla de Hipóteses Xerais e toma valor Si ou Non.</text>
  </threadedComment>
</ThreadedComments>
</file>

<file path=xl/threadedComments/threadedComment3.xml><?xml version="1.0" encoding="utf-8"?>
<ThreadedComments xmlns="http://schemas.microsoft.com/office/spreadsheetml/2018/threadedcomments" xmlns:x="http://schemas.openxmlformats.org/spreadsheetml/2006/main">
  <threadedComment ref="C22" dT="2024-05-08T10:25:35.73" personId="{346655D5-DAC3-42DB-8064-FCC30CB73D19}" id="{23CA4169-CA8C-49B0-8FC4-76518AE70181}">
    <text>Consideramos un prezo de mercado da electricidade de 0,10€ por KWh (100€/MWh), por ser o limiar inferior dos propostos como referencia na reunión de 08/05/2024 con Sapiens Energia, sendo o limiar superior 0,12€/KWh.
Anteriormente, considerábase o prezo medio de mercado no ano 2023, de 88,97 € por MWh.</text>
  </threadedComment>
  <threadedComment ref="F40" dT="2024-04-22T07:03:59.41" personId="{346655D5-DAC3-42DB-8064-FCC30CB73D19}" id="{1A50E762-CD94-45A0-8143-13B7B2D2E5E5}">
    <text>Valor de Referencia Aproximado: 0,50€/Mes.</text>
  </threadedComment>
  <threadedComment ref="F41" dT="2024-04-22T07:04:30.58" personId="{346655D5-DAC3-42DB-8064-FCC30CB73D19}" id="{CC8C5A2A-E317-40E3-8137-8B1DB8BC5824}">
    <text>Valor de Referencia Aproximado: 2-3€/Mes.</text>
  </threadedComment>
  <threadedComment ref="I47" dT="2024-04-18T08:31:08.92" personId="{346655D5-DAC3-42DB-8064-FCC30CB73D19}" id="{739CD790-231A-47F1-A87C-CBDC13B83F76}">
    <text>Dado que a proporción de autoconsumo que se logre estará moi influída pola medida en que a heteroxeneidade nos perfís de demanda dos socios  permita aproximar a demanda conxunta da base de socios ao perfil horario de produción de enerxía da comunidade; e isto dependerá de que haxa un número de empresas que proporcionalmente sexa equilibrado co número de prosumidores residenciais, a proporción de autoconsumo elíxese automáticamente segundo sexa a composición da base de socios.
Especificamente, cando a diferencia en valor absoluto entre as porcentaxes de particulares e empresas sobre o total de socios non supera o 20%, aplícase a máxima proporción de autoconsumo (50%). Cando esa mesma diferencia supera o 20% pero non supera o 40%, aplícase unha proporción de autoconsumo intermedia (40%).
Finalmente, se a diferencia anterior é de máis de 40 puntos porcentuais, asúmese o escenario máis desfavorable (Só un 30% da enerxía producida poderá ser efectivamente destinada ao autoconsumo).</text>
  </threadedComment>
  <threadedComment ref="G79" dT="2024-05-08T09:52:07.82" personId="{346655D5-DAC3-42DB-8064-FCC30CB73D19}" id="{92B13292-A4DE-4D27-B69E-CD90F6F562FE}">
    <text>A superficie precisa para a instalación de corredores entre as instalacións de xeración colocadas sobre o terreo estímase en 0,5 m2 por cada dúas ringleiras de placas fotovoltaicas.</text>
  </threadedComment>
  <threadedComment ref="C84" dT="2024-04-18T06:54:07.80" personId="{346655D5-DAC3-42DB-8064-FCC30CB73D19}" id="{6CD96446-73AC-4F4F-A639-C39FEDCDCF22}">
    <text>A cota de Amortización Anual resulta para todos os anos a mesma e resulta de sumar os importes das cotas que corresponderían aos gastos de constitución, á amortización do inversor e á amortización do resto das instalacións.
A cota correspondente ao inversor mantense ata o final da vida do proxecto (25 anos), posto que debe entenderse que cando estea plenamente amortizado (ao cabo de 10 anos) será substituído por outro que tamén haberá que ir amortizando (tamén nun prazo de dez anos), e así sucesivamente.</text>
  </threadedComment>
</ThreadedComments>
</file>

<file path=xl/threadedComments/threadedComment4.xml><?xml version="1.0" encoding="utf-8"?>
<ThreadedComments xmlns="http://schemas.microsoft.com/office/spreadsheetml/2018/threadedcomments" xmlns:x="http://schemas.openxmlformats.org/spreadsheetml/2006/main">
  <threadedComment ref="C65" dT="2024-05-08T10:13:33.40" personId="{346655D5-DAC3-42DB-8064-FCC30CB73D19}" id="{771C450A-A6CB-45F7-9143-432C1E0FFCC7}">
    <text>Engádese aquí unha compoñente de custo extra que se calcula como o resultado de capitalizar o investimento necesario para o primeiro inversor durante os 15 anos da súa vida útil estimada, a un tipo de interese anual exactamente igual á taxa de inflación interanual esperada. Obtense así a estimación de canto custaría renovar o inversor no ano 15. Ese importe divídese entre o número de anos de vida útil, xa que é preciso telo percibido, na súa totalidad, por parte da comunidade, unha vez o inversor inicial acade a fin da súa vida útil e, consecuentemente, deba adquirirse o novo inversor.
A inclusión deste custo adicional ao calcular a cota a satisfacer polos socios é a contrapartida á exclusión do desembolso incial do investimento necesario para afrontar a renovación do inversor.</text>
  </threadedComment>
</ThreadedComments>
</file>

<file path=xl/threadedComments/threadedComment5.xml><?xml version="1.0" encoding="utf-8"?>
<ThreadedComments xmlns="http://schemas.microsoft.com/office/spreadsheetml/2018/threadedcomments" xmlns:x="http://schemas.openxmlformats.org/spreadsheetml/2006/main">
  <threadedComment ref="D17" dT="2024-04-18T16:33:37.42" personId="{346655D5-DAC3-42DB-8064-FCC30CB73D19}" id="{923091CE-2E39-427E-BF4C-0EE24E614A40}">
    <text>Reducimos as unidades de persoal ata 0,125 (1 hora ao día; 5 á semana) para atender ás labores propias da xestión da Comunidade.</text>
  </threadedComment>
  <threadedComment ref="F17" dT="2024-04-19T09:40:55.11" personId="{346655D5-DAC3-42DB-8064-FCC30CB73D19}" id="{50B50DD9-D05C-43BE-9381-2529D18F9610}">
    <text>Para permitir a opción da subcontratación das actividades de Xestión,  esta cela (Soldos e Salariosl) tomará valor cero cando en Hipóteses Xerais se teña indicado que Si existe subcontratación (e, polo tanto, os gastos de persoal non resultan de aplicación).
Cando Non exista subcontratación, os gastos de persoal son aplicables e esta cela reflectirá automáticamente o valor anual da partida de Soldos e Salarios.</text>
  </threadedComment>
  <threadedComment ref="F18" dT="2024-04-19T09:41:55.70" personId="{346655D5-DAC3-42DB-8064-FCC30CB73D19}" id="{49DD58CA-9F5D-4429-A795-5D41274FEC70}">
    <text>Para permitir a opción da subcontratación das actividades de Xestión,  esta cela (Seguridade Social a Cargo da Empresa) tomará valor cero cando en Hipóteses Xerais se teña indicado que Si existe subcontratación (e, polo tanto, os gastos de persoal non resultan de aplicación).
Cando Non exista subcontratación, os gastos de persoal son aplicables e esta cela reflectirá automáticamente o valor anual da partida Seguridade Social a cargo da Empresa.</text>
  </threadedComment>
  <threadedComment ref="F19" dT="2024-04-19T09:46:08.24" personId="{346655D5-DAC3-42DB-8064-FCC30CB73D19}" id="{3B810885-D8A0-483D-A7C6-79FB70B5562C}">
    <text>Para permitir a opción da subcontratación das actividades de Xestión,  esta cela (Outros Gastos Sociais) tomará valor cero cando en Hipóteses Xerais se teña indicado que Si existe subcontratación (e, polo tanto, os gastos de persoal non resultan de aplicación).
Cando Non exista subcontratación, os gastos de persoal son aplicables e esta cela reflectirá automáticamente o valor anual da partida Outros Gastos Sociais.</text>
  </threadedComment>
  <threadedComment ref="F20" dT="2024-04-19T09:28:45.33" personId="{346655D5-DAC3-42DB-8064-FCC30CB73D19}" id="{22208B18-1B10-48C4-81CA-82227119E252}">
    <text>Para permitir a opción da subcontratación das actividades de Xestión,  esta cela (Gastos de Persoal) tomará valor cero cando en Hipóteses Xerais se teña indicado que Si existe subcontratación (e, polo tanto, os gastos de persoal non resultan de aplicación).
Cando Non exista subcontratación, os gastos de persoal son aplicables e esta cela reflectirá automáticamente o seu valor anual, que será a suma dos montantes das tres filas previas.
É importante ter presente que, cando existe subcontratación, os gastos en asesoramento externo recalcúlanse automaticamente para reflectir tal circunstancia. Cando non existe subcontratación, permanecen nun nivel máis baixo.</text>
  </threadedComment>
  <threadedComment ref="D23" dT="2024-04-19T09:23:43.05" personId="{346655D5-DAC3-42DB-8064-FCC30CB73D19}" id="{13607609-3C8A-4F21-86B7-EDA984B07BE0}">
    <text>Esta cela cumpliméntase automaticamente  en coherencia co que respecto da subcontratación das actividades de xestión se teña indicado en Hipóteses Xerais.</text>
  </threadedComment>
  <threadedComment ref="E31" dT="2024-05-08T11:27:21.50" personId="{346655D5-DAC3-42DB-8064-FCC30CB73D19}" id="{2672A468-1962-45B5-B329-61EDC4FEF571}">
    <text>En coherencia co mencionado no comentario sobre as Unidades, o Valor Unitario quedaría aquí definido como a retribución bruta anual por metro cadrado de terreo cedido para emprazar as instalacións enerxéticas.
Establecemos un valor unitario de 1,2 que supón 12€ anuais (1€ ao mes) por cada 10 metros cadrados de terreo cedido.</text>
  </threadedComment>
  <threadedComment ref="F49" dT="2024-04-22T10:39:45.06" personId="{346655D5-DAC3-42DB-8064-FCC30CB73D19}" id="{F484AF31-2532-4E5F-98CA-4EA91F94DA67}">
    <text>O valor desta partida atópase condicionado á necesidade de contar cunha Conexión á Rede de Internet propia. Cando esta necesidade non exista, segundo o indicado ao respecto en Hipóteses Xerais, esta partida tomará valor cero.
Cando sí exista a devandita necesidade de contar cunha Conexión a Internet Propia, o valor será o que resulte de multiplicar o número de Unidades polo Prezo Unitario correspondente.</text>
  </threadedComment>
  <threadedComment ref="F50" dT="2024-04-22T10:36:58.77" personId="{346655D5-DAC3-42DB-8064-FCC30CB73D19}" id="{43427D79-82C1-48CB-91B7-233770E90FE4}">
    <text>O valor desta partida atópase condicionado á necesidade de contar cun punto de subministro (CUPs) propio. Cando esta necesidade non exista, segundo o indicado ao respecto en Hipóteses Xerais, esta partida tomará valor cero.
Cando sí exista a devandita necesidade de solicitar un CUPs propio, o valor será o que resulte de multiplicar o número de Unidades polo Prezo Unitario correspondente.</text>
  </threadedComment>
  <threadedComment ref="F51" dT="2024-04-22T10:38:00.54" personId="{346655D5-DAC3-42DB-8064-FCC30CB73D19}" id="{893934FE-1478-4D52-A5C0-8C763893237E}">
    <text>O valor desta partida atópase condicionado á necesidade de contar cun punto de subministro (CUPs) propio. Cando esta necesidade non exista, segundo o indicado ao respecto en Hipóteses Xerais, esta partida tomará valor cero.
Cando sí exista a devandita necesidade de solicitar un CUPs propio, o valor será o que resulte de multiplicar o número de Unidades polo Prezo Unitario correspondente.</text>
  </threadedComment>
  <threadedComment ref="E54" dT="2024-04-19T09:21:35.10" personId="{346655D5-DAC3-42DB-8064-FCC30CB73D19}" id="{BCEFC7B4-6BAE-4D84-AED0-CC1BDE90E831}">
    <text>Cando non existe subcontratación dos labores de xestión (Emprégase Persoal Propio), esta partida recolle, conforme á táboa situada á dereita, a suma do Asesoramento contable, fiscal e outros e mais do Monitoring dos socios da entidade.
Cando si existe subcontratación dos labores de xestión, o valor desta partida inclúe, ademais do asesoramento contable e fiscal e do Monitoring, un importe adicional correspondente á contraprestación a satisfacer á subcontratista polas labores de Xestión. 
Cando existe Auto-explotación (Todos os labores de xestión, contabilidade fiscalidade e outras tarefas administrativas son levadas a cabo de forma desinteresada e de balde por algún(s) dos socios, o valor desta partida inclúe exclusivamente o Monitoring dos Socios.
Esta estrutura de funcionamento atópase revisada conforme ao indicado na reunión con Sapiens Energia de 08-05-2024.
Esta cela cumpliméntase automaticamente dependendo do que respecto da realización das actividades de xestión se estableza en Hipóteses Xerais.</text>
  </threadedComment>
  <threadedComment ref="F63" dT="2024-02-29T08:34:43.82" personId="{9B6ABAFA-BF96-4687-8DDB-6850797B9550}" id="{193C7A23-4D24-4199-9A28-7892223E95DF}">
    <text>Comprobar que pasa con CE con autoconsumo</text>
  </threadedComment>
  <threadedComment ref="F63" dT="2024-02-29T13:39:51.19" personId="{346655D5-DAC3-42DB-8064-FCC30CB73D19}" id="{851FD411-29EE-4434-AF84-A80338C0A389}" parentId="{193C7A23-4D24-4199-9A28-7892223E95DF}">
    <text>Vincúlase o valor da 'cota íntegra', no relativo á garantía, á necesidade ou non de prestación da mesma, que se incorpora como variable na Folla de Hipóteses Xerais e toma valor Si ou Non.</text>
  </threadedComment>
</ThreadedComments>
</file>

<file path=xl/threadedComments/threadedComment6.xml><?xml version="1.0" encoding="utf-8"?>
<ThreadedComments xmlns="http://schemas.microsoft.com/office/spreadsheetml/2018/threadedcomments" xmlns:x="http://schemas.openxmlformats.org/spreadsheetml/2006/main">
  <threadedComment ref="E40" dT="2024-04-23T09:03:05.94" personId="{346655D5-DAC3-42DB-8064-FCC30CB73D19}" id="{C6768D03-ED5A-480D-A254-CFB87DCA87DE}">
    <text>Esta elección só ten impacto para o cálculo do Estado de Fluxos de Efectivo (Fluxo de Caixa, Folla Actual do Libro Excel).
O impacto é o seguinte: Se seleccionamos Si, incluimos o valor da enerxía producida como ingreso que si xera un fluxo (pseudo-monetario). Se así o facemos, non se corrixe o resultado de explotación para excluír do mesmo o valor da enerxía xerada. Agora ben, para reflectir que este valor non fica na entidade senón que é transmitido aos seus socios, ao seleccionar 'Si' engádese un dividendo polo mesmo valor da enerxía xerada que se considerou ingreso.
No caso oposto, se seleccionamos nesta cela Inclusión do Valor da Enerxía Producida = Non, corríxese o resultado de explotación para excluír directamente do mesmo o valor da enerxía (Primeira ringleira baixo a de resultado de explotación). En contrapartida, ademáis, o dividendo a favor dos accionistas toma valor cero.</text>
  </threadedComment>
</ThreadedComments>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525" row="5">
    <wetp:webextensionref xmlns:r="http://schemas.openxmlformats.org/officeDocument/2006/relationships" r:id="rId1"/>
  </wetp:taskpane>
</wetp:taskpanes>
</file>

<file path=xl/webextensions/webextension1.xml><?xml version="1.0" encoding="utf-8"?>
<we:webextension xmlns:we="http://schemas.microsoft.com/office/webextensions/webextension/2010/11" id="{CBF06F91-A4B1-4FB6-900F-644FF4527075}">
  <we:reference id="wa104381504" version="1.0.0.0" store="es-ES" storeType="OMEX"/>
  <we:alternateReferences>
    <we:reference id="wa104381504" version="1.0.0.0" store="wa104381504" storeType="OMEX"/>
  </we:alternateReferences>
  <we:properties/>
  <we:bindings/>
  <we:snapshot xmlns:r="http://schemas.openxmlformats.org/officeDocument/2006/relationships"/>
  <we:extLst>
    <a:ext xmlns:a="http://schemas.openxmlformats.org/drawingml/2006/main" uri="{D87F86FE-615C-45B5-9D79-34F1136793EB}">
      <we:containsCustomFunctions/>
    </a:ext>
  </we:extLst>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table" Target="../tables/table9.xml"/><Relationship Id="rId13" Type="http://schemas.openxmlformats.org/officeDocument/2006/relationships/table" Target="../tables/table14.xml"/><Relationship Id="rId18" Type="http://schemas.openxmlformats.org/officeDocument/2006/relationships/table" Target="../tables/table19.xml"/><Relationship Id="rId26" Type="http://schemas.openxmlformats.org/officeDocument/2006/relationships/table" Target="../tables/table27.xml"/><Relationship Id="rId3" Type="http://schemas.openxmlformats.org/officeDocument/2006/relationships/table" Target="../tables/table4.xml"/><Relationship Id="rId21" Type="http://schemas.openxmlformats.org/officeDocument/2006/relationships/table" Target="../tables/table22.xml"/><Relationship Id="rId7" Type="http://schemas.openxmlformats.org/officeDocument/2006/relationships/table" Target="../tables/table8.xml"/><Relationship Id="rId12" Type="http://schemas.openxmlformats.org/officeDocument/2006/relationships/table" Target="../tables/table13.xml"/><Relationship Id="rId17" Type="http://schemas.openxmlformats.org/officeDocument/2006/relationships/table" Target="../tables/table18.xml"/><Relationship Id="rId25" Type="http://schemas.openxmlformats.org/officeDocument/2006/relationships/table" Target="../tables/table26.xml"/><Relationship Id="rId2" Type="http://schemas.openxmlformats.org/officeDocument/2006/relationships/table" Target="../tables/table3.xml"/><Relationship Id="rId16" Type="http://schemas.openxmlformats.org/officeDocument/2006/relationships/table" Target="../tables/table17.xml"/><Relationship Id="rId20" Type="http://schemas.openxmlformats.org/officeDocument/2006/relationships/table" Target="../tables/table21.xml"/><Relationship Id="rId1" Type="http://schemas.openxmlformats.org/officeDocument/2006/relationships/table" Target="../tables/table2.xml"/><Relationship Id="rId6" Type="http://schemas.openxmlformats.org/officeDocument/2006/relationships/table" Target="../tables/table7.xml"/><Relationship Id="rId11" Type="http://schemas.openxmlformats.org/officeDocument/2006/relationships/table" Target="../tables/table12.xml"/><Relationship Id="rId24" Type="http://schemas.openxmlformats.org/officeDocument/2006/relationships/table" Target="../tables/table25.xml"/><Relationship Id="rId5" Type="http://schemas.openxmlformats.org/officeDocument/2006/relationships/table" Target="../tables/table6.xml"/><Relationship Id="rId15" Type="http://schemas.openxmlformats.org/officeDocument/2006/relationships/table" Target="../tables/table16.xml"/><Relationship Id="rId23" Type="http://schemas.openxmlformats.org/officeDocument/2006/relationships/table" Target="../tables/table24.xml"/><Relationship Id="rId10" Type="http://schemas.openxmlformats.org/officeDocument/2006/relationships/table" Target="../tables/table11.xml"/><Relationship Id="rId19" Type="http://schemas.openxmlformats.org/officeDocument/2006/relationships/table" Target="../tables/table20.xml"/><Relationship Id="rId4" Type="http://schemas.openxmlformats.org/officeDocument/2006/relationships/table" Target="../tables/table5.xml"/><Relationship Id="rId9" Type="http://schemas.openxmlformats.org/officeDocument/2006/relationships/table" Target="../tables/table10.xml"/><Relationship Id="rId14" Type="http://schemas.openxmlformats.org/officeDocument/2006/relationships/table" Target="../tables/table15.xml"/><Relationship Id="rId22" Type="http://schemas.openxmlformats.org/officeDocument/2006/relationships/table" Target="../tables/table2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 Id="rId4" Type="http://schemas.microsoft.com/office/2017/10/relationships/threadedComment" Target="../threadedComments/threadedComment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 Id="rId4" Type="http://schemas.microsoft.com/office/2017/10/relationships/threadedComment" Target="../threadedComments/threadedComment4.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microsoft.com/office/2017/10/relationships/threadedComment" Target="../threadedComments/threadedComment5.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6.bin"/><Relationship Id="rId4" Type="http://schemas.microsoft.com/office/2017/10/relationships/threadedComment" Target="../threadedComments/threadedComment6.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21.bin"/><Relationship Id="rId4" Type="http://schemas.openxmlformats.org/officeDocument/2006/relationships/comments" Target="../comments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2.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3.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3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6.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27.bin"/></Relationships>
</file>

<file path=xl/worksheets/_rels/sheet47.xml.rels><?xml version="1.0" encoding="UTF-8" standalone="yes"?>
<Relationships xmlns="http://schemas.openxmlformats.org/package/2006/relationships"><Relationship Id="rId8" Type="http://schemas.openxmlformats.org/officeDocument/2006/relationships/table" Target="../tables/table36.xml"/><Relationship Id="rId13" Type="http://schemas.openxmlformats.org/officeDocument/2006/relationships/table" Target="../tables/table41.xml"/><Relationship Id="rId18" Type="http://schemas.openxmlformats.org/officeDocument/2006/relationships/table" Target="../tables/table46.xml"/><Relationship Id="rId26" Type="http://schemas.openxmlformats.org/officeDocument/2006/relationships/table" Target="../tables/table54.xml"/><Relationship Id="rId3" Type="http://schemas.openxmlformats.org/officeDocument/2006/relationships/table" Target="../tables/table31.xml"/><Relationship Id="rId21" Type="http://schemas.openxmlformats.org/officeDocument/2006/relationships/table" Target="../tables/table49.xml"/><Relationship Id="rId7" Type="http://schemas.openxmlformats.org/officeDocument/2006/relationships/table" Target="../tables/table35.xml"/><Relationship Id="rId12" Type="http://schemas.openxmlformats.org/officeDocument/2006/relationships/table" Target="../tables/table40.xml"/><Relationship Id="rId17" Type="http://schemas.openxmlformats.org/officeDocument/2006/relationships/table" Target="../tables/table45.xml"/><Relationship Id="rId25" Type="http://schemas.openxmlformats.org/officeDocument/2006/relationships/table" Target="../tables/table53.xml"/><Relationship Id="rId2" Type="http://schemas.openxmlformats.org/officeDocument/2006/relationships/table" Target="../tables/table30.xml"/><Relationship Id="rId16" Type="http://schemas.openxmlformats.org/officeDocument/2006/relationships/table" Target="../tables/table44.xml"/><Relationship Id="rId20" Type="http://schemas.openxmlformats.org/officeDocument/2006/relationships/table" Target="../tables/table48.xml"/><Relationship Id="rId1" Type="http://schemas.openxmlformats.org/officeDocument/2006/relationships/table" Target="../tables/table29.xml"/><Relationship Id="rId6" Type="http://schemas.openxmlformats.org/officeDocument/2006/relationships/table" Target="../tables/table34.xml"/><Relationship Id="rId11" Type="http://schemas.openxmlformats.org/officeDocument/2006/relationships/table" Target="../tables/table39.xml"/><Relationship Id="rId24" Type="http://schemas.openxmlformats.org/officeDocument/2006/relationships/table" Target="../tables/table52.xml"/><Relationship Id="rId5" Type="http://schemas.openxmlformats.org/officeDocument/2006/relationships/table" Target="../tables/table33.xml"/><Relationship Id="rId15" Type="http://schemas.openxmlformats.org/officeDocument/2006/relationships/table" Target="../tables/table43.xml"/><Relationship Id="rId23" Type="http://schemas.openxmlformats.org/officeDocument/2006/relationships/table" Target="../tables/table51.xml"/><Relationship Id="rId10" Type="http://schemas.openxmlformats.org/officeDocument/2006/relationships/table" Target="../tables/table38.xml"/><Relationship Id="rId19" Type="http://schemas.openxmlformats.org/officeDocument/2006/relationships/table" Target="../tables/table47.xml"/><Relationship Id="rId4" Type="http://schemas.openxmlformats.org/officeDocument/2006/relationships/table" Target="../tables/table32.xml"/><Relationship Id="rId9" Type="http://schemas.openxmlformats.org/officeDocument/2006/relationships/table" Target="../tables/table37.xml"/><Relationship Id="rId14" Type="http://schemas.openxmlformats.org/officeDocument/2006/relationships/table" Target="../tables/table42.xml"/><Relationship Id="rId22" Type="http://schemas.openxmlformats.org/officeDocument/2006/relationships/table" Target="../tables/table5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36E7E-587C-475F-AA96-568A66972F61}">
  <sheetPr>
    <tabColor theme="4" tint="0.79998168889431442"/>
    <pageSetUpPr fitToPage="1"/>
  </sheetPr>
  <dimension ref="A1:L80"/>
  <sheetViews>
    <sheetView tabSelected="1" topLeftCell="A3" zoomScale="90" zoomScaleNormal="90" workbookViewId="0">
      <selection activeCell="C11" sqref="C11"/>
    </sheetView>
  </sheetViews>
  <sheetFormatPr baseColWidth="10" defaultColWidth="11.453125" defaultRowHeight="14.5" x14ac:dyDescent="0.35"/>
  <cols>
    <col min="2" max="2" width="48.453125" customWidth="1"/>
    <col min="3" max="3" width="23.1796875" customWidth="1"/>
    <col min="4" max="4" width="13.1796875" bestFit="1" customWidth="1"/>
    <col min="5" max="5" width="35.1796875" customWidth="1"/>
    <col min="6" max="6" width="15.54296875" customWidth="1"/>
    <col min="7" max="7" width="13.81640625" customWidth="1"/>
    <col min="8" max="8" width="44.1796875" customWidth="1"/>
    <col min="9" max="9" width="19.1796875" customWidth="1"/>
    <col min="10" max="10" width="19.453125" customWidth="1"/>
  </cols>
  <sheetData>
    <row r="1" spans="2:12" ht="15" thickBot="1" x14ac:dyDescent="0.4">
      <c r="B1" s="1"/>
      <c r="C1" s="1"/>
      <c r="D1" s="1"/>
      <c r="E1" s="1"/>
      <c r="F1" s="1"/>
    </row>
    <row r="2" spans="2:12" ht="15.5" thickTop="1" thickBot="1" x14ac:dyDescent="0.4">
      <c r="B2" s="1"/>
      <c r="C2" s="240" t="str">
        <f>VLOOKUP("Lingua",tabIdiomas[],MATCH($D$2,tabIdiomas[#Headers]),FALSE)</f>
        <v>Language</v>
      </c>
      <c r="D2" s="241" t="s">
        <v>22</v>
      </c>
      <c r="E2" s="1"/>
      <c r="F2" s="1"/>
    </row>
    <row r="3" spans="2:12" ht="22" thickTop="1" thickBot="1" x14ac:dyDescent="0.4">
      <c r="B3" s="2" t="str">
        <f>VLOOKUP("Hipóteses Xerais",tabIdiomas[],MATCH($D$2,tabIdiomas[#Headers]),FALSE)</f>
        <v>General Hypotheses</v>
      </c>
      <c r="C3" s="1"/>
      <c r="D3" s="1"/>
      <c r="E3" s="1"/>
      <c r="F3" s="1"/>
    </row>
    <row r="4" spans="2:12" ht="22" thickTop="1" thickBot="1" x14ac:dyDescent="0.4">
      <c r="C4" s="2"/>
      <c r="D4" s="2"/>
      <c r="E4" s="123" t="str">
        <f>VLOOKUP("Emprazamento das Instalacións (Galicia)",tabIdiomas[],MATCH($D$2,tabIdiomas[#Headers]),FALSE)</f>
        <v>Facilities Location (Galicia)</v>
      </c>
      <c r="F4" s="66"/>
      <c r="H4" s="123" t="str">
        <f>VLOOKUP("Dispoñibilidade de Terreos para Emprazar as Instalacións",tabIdiomas[],MATCH($D$2,tabIdiomas[#Headers]),FALSE)</f>
        <v>Land Availability for Facilities Location</v>
      </c>
      <c r="I4" s="66"/>
    </row>
    <row r="5" spans="2:12" ht="15" thickTop="1" x14ac:dyDescent="0.35">
      <c r="B5" s="123" t="str">
        <f>VLOOKUP("Emprazamento das Instalacións (Xeral)",tabIdiomas[],MATCH($D$2,tabIdiomas[#Headers]),FALSE)</f>
        <v>Facilities Location (General)</v>
      </c>
      <c r="C5" s="66"/>
      <c r="D5" s="1"/>
      <c r="E5" s="90" t="str">
        <f>VLOOKUP("CC.AA.",tabIdiomas[],MATCH($D$2,tabIdiomas[#Headers]),FALSE)</f>
        <v>Region</v>
      </c>
      <c r="F5" s="142" t="s">
        <v>1</v>
      </c>
      <c r="H5" s="90" t="str">
        <f>VLOOKUP("Superficie de Terreo Dispoñible (m2)",tabIdiomas[],MATCH($D$2,tabIdiomas[#Headers]),FALSE)</f>
        <v>Land Surface Available (m2)</v>
      </c>
      <c r="I5" s="144">
        <v>400</v>
      </c>
    </row>
    <row r="6" spans="2:12" ht="15" thickBot="1" x14ac:dyDescent="0.4">
      <c r="B6" s="90" t="str">
        <f>VLOOKUP("Área Xeográfica",tabIdiomas[],MATCH($D$2,tabIdiomas[#Headers]),FALSE)</f>
        <v>Geographic Area</v>
      </c>
      <c r="C6" s="239" t="s">
        <v>44</v>
      </c>
      <c r="D6" s="1"/>
      <c r="E6" s="90" t="str">
        <f>VLOOKUP("Provincia",tabIdiomas[],MATCH($D$2,tabIdiomas[#Headers]),FALSE)</f>
        <v>Province</v>
      </c>
      <c r="F6" s="143" t="s">
        <v>3</v>
      </c>
      <c r="H6" s="232" t="str">
        <f>VLOOKUP("Superficie Precisa para Corredores (m2)",tabIdiomas[],MATCH($D$2,tabIdiomas[#Headers]),FALSE)</f>
        <v>Land Surface Necessary for Maintenance Corridors (m2)</v>
      </c>
      <c r="I6" s="145">
        <v>50</v>
      </c>
    </row>
    <row r="7" spans="2:12" ht="15" thickTop="1" x14ac:dyDescent="0.35">
      <c r="B7" s="90" t="str">
        <f>VLOOKUP("Provincia ou Rexión",tabIdiomas[],MATCH($D$2,tabIdiomas[#Headers]),FALSE)</f>
        <v>Province or Region</v>
      </c>
      <c r="C7" s="221" t="s">
        <v>4</v>
      </c>
      <c r="D7" s="1"/>
      <c r="E7" s="90" t="str">
        <f>VLOOKUP("Concello",tabIdiomas[],MATCH($D$2,tabIdiomas[#Headers]),FALSE)</f>
        <v>City or Village</v>
      </c>
      <c r="F7" s="210" t="s">
        <v>4</v>
      </c>
    </row>
    <row r="8" spans="2:12" ht="15" thickBot="1" x14ac:dyDescent="0.4">
      <c r="B8" s="98" t="str">
        <f>VLOOKUP("Concello ou Termo Municipal",tabIdiomas[],MATCH($D$2,tabIdiomas[#Headers]),FALSE)</f>
        <v>City or Village</v>
      </c>
      <c r="C8" s="222" t="s">
        <v>4</v>
      </c>
      <c r="D8" s="1"/>
      <c r="E8" s="98" t="str">
        <f>VLOOKUP("Parroquia",tabIdiomas[],MATCH($D$2,tabIdiomas[#Headers]),FALSE)</f>
        <v>City or Village District</v>
      </c>
      <c r="F8" s="211" t="s">
        <v>4</v>
      </c>
    </row>
    <row r="9" spans="2:12" ht="15.5" thickTop="1" thickBot="1" x14ac:dyDescent="0.4">
      <c r="B9" s="44"/>
      <c r="C9" s="45"/>
      <c r="D9" s="1"/>
      <c r="E9" s="1"/>
      <c r="F9" s="1"/>
    </row>
    <row r="10" spans="2:12" ht="15" thickTop="1" x14ac:dyDescent="0.35">
      <c r="B10" s="127" t="str">
        <f>VLOOKUP("Hipóteses Xerais",tabIdiomas[],MATCH($D$2,tabIdiomas[#Headers]),FALSE)</f>
        <v>General Hypotheses</v>
      </c>
      <c r="C10" s="128"/>
      <c r="D10" s="1"/>
      <c r="E10" s="123" t="str">
        <f>VLOOKUP("Financiamento do Proxecto",tabIdiomas[],MATCH($D$2,tabIdiomas[#Headers]),FALSE)</f>
        <v>Project Financing</v>
      </c>
      <c r="F10" s="134"/>
      <c r="H10" s="123" t="str">
        <f>VLOOKUP("Desglose do Investimento: Instalacións e Gastos de Constitución",tabIdiomas[],MATCH($D$2,tabIdiomas[#Headers]),FALSE)</f>
        <v>Investment Details: Facilities and Establishment Expenses</v>
      </c>
      <c r="I10" s="134"/>
      <c r="L10" s="13"/>
    </row>
    <row r="11" spans="2:12" x14ac:dyDescent="0.35">
      <c r="B11" s="112" t="str">
        <f>VLOOKUP("Prazo da Instalación (Anos)",tabIdiomas[],MATCH($D$2,tabIdiomas[#Headers]),FALSE)</f>
        <v>Project Time Horizon (Years)</v>
      </c>
      <c r="C11" s="129">
        <v>25</v>
      </c>
      <c r="D11" s="1"/>
      <c r="E11" s="118" t="str">
        <f>VLOOKUP("% Financiamento Alleo do investimento (Débeda)",tabIdiomas[],MATCH($D$2,tabIdiomas[#Headers]),FALSE)</f>
        <v>% Investment Third-Party Financing (Debt)</v>
      </c>
      <c r="F11" s="135">
        <v>0</v>
      </c>
      <c r="H11" s="112" t="str">
        <f>VLOOKUP("Ratio de Investimento s/ Potencia Instalada (€/kW)",tabIdiomas[],MATCH($D$2,tabIdiomas[#Headers]),FALSE)</f>
        <v>Investment Rate over Installed Power (€/kW)</v>
      </c>
      <c r="I11" s="136">
        <v>1000</v>
      </c>
      <c r="L11" s="46"/>
    </row>
    <row r="12" spans="2:12" ht="26" x14ac:dyDescent="0.35">
      <c r="B12" s="90" t="str">
        <f>VLOOKUP("IVE - Venda de Mercaderías, Gastos e Investimentos (%)",tabIdiomas[],MATCH($D$2,tabIdiomas[#Headers]),FALSE)</f>
        <v>VAT - Merchandise Sales, Expenses and Investments</v>
      </c>
      <c r="C12" s="130">
        <v>0.21</v>
      </c>
      <c r="D12" s="1"/>
      <c r="E12" s="90"/>
      <c r="F12" s="136"/>
      <c r="H12" s="118" t="str">
        <f>VLOOKUP("Necesidade de Novo CUPS, Propio (Si/Non)",tabIdiomas[],MATCH($D$2,tabIdiomas[#Headers]),FALSE)</f>
        <v>Need for a New USPC (Unified Supply Point Code), Own one (Yes/No)</v>
      </c>
      <c r="I12" s="113" t="s">
        <v>5</v>
      </c>
    </row>
    <row r="13" spans="2:12" x14ac:dyDescent="0.35">
      <c r="B13" s="90" t="str">
        <f>VLOOKUP("IVE - Período de Liquidación (Meses)",tabIdiomas[],MATCH($D$2,tabIdiomas[#Headers]),FALSE)</f>
        <v>VAT - Settlement Period (Months)</v>
      </c>
      <c r="C13" s="131">
        <v>3</v>
      </c>
      <c r="D13" s="1"/>
      <c r="E13" s="112" t="str">
        <f>VLOOKUP("Prazo (Anos)",tabIdiomas[],MATCH($D$2,tabIdiomas[#Headers]),FALSE)</f>
        <v>Loan Term (Years)</v>
      </c>
      <c r="F13" s="129">
        <v>15</v>
      </c>
      <c r="H13" s="118" t="str">
        <f>VLOOKUP("Custo de Investimento Vinculado á Obtención do Novo CUPS (€)",tabIdiomas[],MATCH($D$2,tabIdiomas[#Headers]),FALSE)</f>
        <v>Investment Cost of Getting a New USPC (€)</v>
      </c>
      <c r="I13" s="91">
        <v>800</v>
      </c>
    </row>
    <row r="14" spans="2:12" ht="26" x14ac:dyDescent="0.35">
      <c r="B14" s="112" t="str">
        <f>VLOOKUP("Tipo Impositivo IS (%)",tabIdiomas[],MATCH($D$2,tabIdiomas[#Headers]),FALSE)</f>
        <v>Corporate Income Tax Rate (%)</v>
      </c>
      <c r="C14" s="130">
        <v>0.25</v>
      </c>
      <c r="D14" s="1"/>
      <c r="E14" s="118" t="str">
        <f>VLOOKUP("Período de Carencia de Capital (Anos)",tabIdiomas[],MATCH($D$2,tabIdiomas[#Headers]),FALSE)</f>
        <v>Lack of Need for Capital Reimbursement Period (Years)</v>
      </c>
      <c r="F14" s="137">
        <v>0</v>
      </c>
      <c r="H14" s="118" t="str">
        <f>VLOOKUP("Gastos de Constitución (Importe Fixo ou Proporcional ao Investimento)",tabIdiomas[],MATCH($D$2,tabIdiomas[#Headers]),FALSE)</f>
        <v>Establishment Costs (Fixed Amount or a Proportion Over Investment)</v>
      </c>
      <c r="I14" s="113" t="s">
        <v>6</v>
      </c>
    </row>
    <row r="15" spans="2:12" ht="26" x14ac:dyDescent="0.35">
      <c r="B15" s="132" t="str">
        <f>VLOOKUP("Necesidade de Prestación de Garantía á Administración (Si / Non)",tabIdiomas[],MATCH($D$2,tabIdiomas[#Headers]),FALSE)</f>
        <v>Need for Providing Economic Guarantees to the Public Administration (Yes / No)</v>
      </c>
      <c r="C15" s="113" t="s">
        <v>5</v>
      </c>
      <c r="D15" s="1"/>
      <c r="E15" s="118" t="str">
        <f>VLOOKUP("Periodo de Carencia de Xuros (Anos)",tabIdiomas[],MATCH($D$2,tabIdiomas[#Headers]),FALSE)</f>
        <v>Lack of Need for Interest Payment Period (Years)</v>
      </c>
      <c r="F15" s="137">
        <v>0</v>
      </c>
      <c r="H15" s="118" t="str">
        <f>VLOOKUP("Gastos de Constitución (Importe Proporcional, % s/Investimento Inicial, se Aplicable)",tabIdiomas[],MATCH($D$2,tabIdiomas[#Headers]),FALSE)</f>
        <v>Establishment Costs (Proportional Amount, % over Initial Investment, if Applicable)</v>
      </c>
      <c r="I15" s="146">
        <f>1%</f>
        <v>0.01</v>
      </c>
    </row>
    <row r="16" spans="2:12" ht="15" thickBot="1" x14ac:dyDescent="0.4">
      <c r="B16" s="133" t="str">
        <f>VLOOKUP("Remuneración Caixa (%)",tabIdiomas[],MATCH($D$2,tabIdiomas[#Headers]),FALSE)</f>
        <v>Cash Remuneration (%)</v>
      </c>
      <c r="C16" s="181">
        <v>0</v>
      </c>
      <c r="D16" s="1"/>
      <c r="E16" s="118" t="str">
        <f>VLOOKUP("Número de Meses a Considerar no Primeiro Ano",tabIdiomas[],MATCH($D$2,tabIdiomas[#Headers]),FALSE)</f>
        <v>Number of Months for the First Year</v>
      </c>
      <c r="F16" s="138">
        <v>12</v>
      </c>
      <c r="H16" s="119" t="str">
        <f>VLOOKUP("Gastos de Constitución (Importe Fixo, se Aplicable) (€)",tabIdiomas[],MATCH($D$2,tabIdiomas[#Headers]),FALSE)</f>
        <v>Establishment Costs (Fixed Amount, if Applicable) (€)</v>
      </c>
      <c r="I16" s="147">
        <v>150</v>
      </c>
    </row>
    <row r="17" spans="1:9" ht="15.5" thickTop="1" thickBot="1" x14ac:dyDescent="0.4">
      <c r="D17" s="1"/>
      <c r="E17" s="112"/>
      <c r="F17" s="138"/>
    </row>
    <row r="18" spans="1:9" ht="27" thickTop="1" thickBot="1" x14ac:dyDescent="0.4">
      <c r="D18" s="1"/>
      <c r="E18" s="230" t="str">
        <f>VLOOKUP("Euribor (%)",tabIdiomas[],MATCH($D$2,tabIdiomas[#Headers]),FALSE)</f>
        <v>Euribor (European Reference Interbancarian Interest Rate) (%)</v>
      </c>
      <c r="F18" s="135">
        <v>3.6859999999999997E-2</v>
      </c>
      <c r="H18" s="123" t="str">
        <f>VLOOKUP("Desglose do Investimento: Datos Relativos ao Inversor",tabIdiomas[],MATCH($D$2,tabIdiomas[#Headers]),FALSE)</f>
        <v>Investment Details: Data Related to the Power Inverter</v>
      </c>
      <c r="I18" s="134"/>
    </row>
    <row r="19" spans="1:9" ht="27" thickTop="1" thickBot="1" x14ac:dyDescent="0.4">
      <c r="B19" s="122" t="str">
        <f>VLOOKUP("Hipóteses Relativas á Enerxía",tabIdiomas[],MATCH($D$2,tabIdiomas[#Headers]),FALSE)</f>
        <v>Energy-Related Hypotheses</v>
      </c>
      <c r="C19" s="122"/>
      <c r="D19" s="1"/>
      <c r="E19" s="90" t="str">
        <f>VLOOKUP("Marxe sobre Euribor (%)",tabIdiomas[],MATCH($D$2,tabIdiomas[#Headers]),FALSE)</f>
        <v>Margin Over Euribor (%)</v>
      </c>
      <c r="F19" s="135">
        <v>0.03</v>
      </c>
      <c r="H19" s="148" t="str">
        <f>VLOOKUP("Investimento Inversor (% s/ Invest. Inicial en Instalacións)",tabIdiomas[],MATCH($D$2,tabIdiomas[#Headers]),FALSE)</f>
        <v>Power Inverter Investment (% Over Initial Investment on Facilities)</v>
      </c>
      <c r="I19" s="111">
        <v>0.2</v>
      </c>
    </row>
    <row r="20" spans="1:9" ht="27" thickTop="1" thickBot="1" x14ac:dyDescent="0.4">
      <c r="A20" s="3"/>
      <c r="B20" s="96" t="str">
        <f>VLOOKUP("Prezo de Referencia de Mercado da Electricidade (€/MWh)",tabIdiomas[],MATCH($D$2,tabIdiomas[#Headers]),FALSE)</f>
        <v>Reference Market Price of the Electricity (€/MWh)</v>
      </c>
      <c r="C20" s="121">
        <v>100</v>
      </c>
      <c r="E20" s="98" t="str">
        <f>VLOOKUP("Comisión de Apertura (%)",tabIdiomas[],MATCH($D$2,tabIdiomas[#Headers]),FALSE)</f>
        <v>Loan Opening Fee (%)</v>
      </c>
      <c r="F20" s="139">
        <v>3.0000000000000001E-3</v>
      </c>
      <c r="H20" s="119" t="str">
        <f>VLOOKUP("Prazo Invest. Inversor (Vida Útil Estimada)",tabIdiomas[],MATCH($D$2,tabIdiomas[#Headers]),FALSE)</f>
        <v>Power Inverter Investment Time Period (Estimated on-use Lifetime, Years)</v>
      </c>
      <c r="I20" s="149">
        <v>15</v>
      </c>
    </row>
    <row r="21" spans="1:9" ht="15.5" thickTop="1" thickBot="1" x14ac:dyDescent="0.4">
      <c r="B21" s="90" t="str">
        <f>VLOOKUP("Prezo Autoconsumo (% sobre Prezo Medio)",tabIdiomas[],MATCH($D$2,tabIdiomas[#Headers]),FALSE)</f>
        <v>Self-Consumption Price (% over Reference Market Price)</v>
      </c>
      <c r="C21" s="108">
        <v>1</v>
      </c>
      <c r="D21" s="1"/>
      <c r="H21" s="26"/>
      <c r="I21" s="23"/>
    </row>
    <row r="22" spans="1:9" ht="15.5" thickTop="1" thickBot="1" x14ac:dyDescent="0.4">
      <c r="B22" s="90" t="str">
        <f>VLOOKUP("Prezo Compensación (% sobre Prezo Medio)",tabIdiomas[],MATCH($D$2,tabIdiomas[#Headers]),FALSE)</f>
        <v>Compensation Price (% over Reference Market Price)</v>
      </c>
      <c r="C22" s="108">
        <v>0.5</v>
      </c>
      <c r="D22" s="1"/>
      <c r="E22" s="123" t="str">
        <f>VLOOKUP("Subvención Pública",tabIdiomas[],MATCH($D$2,tabIdiomas[#Headers]),FALSE)</f>
        <v>Public Funding</v>
      </c>
      <c r="F22" s="134"/>
      <c r="H22" s="30"/>
      <c r="I22" s="49"/>
    </row>
    <row r="23" spans="1:9" ht="15" thickTop="1" x14ac:dyDescent="0.35">
      <c r="B23" s="90" t="str">
        <f>VLOOKUP("Prezo Venda (% sobre Prezo Medio)",tabIdiomas[],MATCH($D$2,tabIdiomas[#Headers]),FALSE)</f>
        <v>Sale Price (% over Reference Market Price)</v>
      </c>
      <c r="C23" s="108">
        <v>0.75</v>
      </c>
      <c r="D23" s="1"/>
      <c r="E23" s="112" t="str">
        <f>VLOOKUP("Subvención Pública (Si / Non)",tabIdiomas[],MATCH($D$2,tabIdiomas[#Headers]),FALSE)</f>
        <v>Public Grant or Economic Support (Yes / No)</v>
      </c>
      <c r="F23" s="113" t="s">
        <v>7</v>
      </c>
      <c r="H23" s="123" t="str">
        <f>VLOOKUP("Fórmula Desindexación",tabIdiomas[],MATCH($D$2,tabIdiomas[#Headers]),FALSE)</f>
        <v>Deindexing Formula</v>
      </c>
      <c r="I23" s="228" t="str">
        <f>VLOOKUP("% Anual",tabIdiomas[],MATCH($D$2,tabIdiomas[#Headers]),FALSE)</f>
        <v>Annual Percentage (%)</v>
      </c>
    </row>
    <row r="24" spans="1:9" ht="26" x14ac:dyDescent="0.35">
      <c r="B24" s="114" t="str">
        <f>VLOOKUP("Compensación ou Venda da Enerxía",tabIdiomas[],MATCH($D$2,tabIdiomas[#Headers]),FALSE)</f>
        <v>Energy Compensation or Energy Sale, Excedents Regime Applicable</v>
      </c>
      <c r="C24" s="109" t="s">
        <v>305</v>
      </c>
      <c r="D24" s="1"/>
      <c r="E24" s="119" t="str">
        <f>VLOOKUP("Ratio de Subvención (Subv. -%- s/  -Invest. Inicial en Instalac.)",tabIdiomas[],MATCH($D$2,tabIdiomas[#Headers]),FALSE)</f>
        <v>Public Funding Rate (Grant -%- Over Initial Investment on Facilities)</v>
      </c>
      <c r="F24" s="140">
        <v>0.6</v>
      </c>
      <c r="H24" s="90" t="str">
        <f>VLOOKUP("Taxa para a Actualización Salarios Sector (= IPC)",tabIdiomas[],MATCH($D$2,tabIdiomas[#Headers]),FALSE)</f>
        <v>Sectorial Wages Updating Rate (= CPI)</v>
      </c>
      <c r="I24" s="330">
        <v>3.1E-2</v>
      </c>
    </row>
    <row r="25" spans="1:9" ht="15.5" thickTop="1" thickBot="1" x14ac:dyDescent="0.4">
      <c r="B25" s="110" t="str">
        <f>VLOOKUP("Porcentaxe Esóxena de Aforro sobre Consumo Total (%)",tabIdiomas[],MATCH($D$2,tabIdiomas[#Headers]),FALSE)</f>
        <v>Exogenous Percentage of Savings over Total Electricity Consumption (%)</v>
      </c>
      <c r="C25" s="111">
        <v>1</v>
      </c>
      <c r="D25" s="1"/>
      <c r="H25" s="90" t="str">
        <f>VLOOKUP("Taxa para a Actualización do Custo da Enerxía",tabIdiomas[],MATCH($D$2,tabIdiomas[#Headers]),FALSE)</f>
        <v>Energy Cost Updating Rate</v>
      </c>
      <c r="I25" s="330">
        <v>1.6E-2</v>
      </c>
    </row>
    <row r="26" spans="1:9" ht="26" x14ac:dyDescent="0.35">
      <c r="B26" s="112" t="str">
        <f>VLOOKUP("Batería Virtual (Si / Non)",tabIdiomas[],MATCH($D$2,tabIdiomas[#Headers]),FALSE)</f>
        <v>Virtual Battery (Yes / No)</v>
      </c>
      <c r="C26" s="113" t="s">
        <v>7</v>
      </c>
      <c r="D26" s="1"/>
      <c r="E26" s="123" t="str">
        <f>VLOOKUP("Composición da Base de Socios",tabIdiomas[],MATCH($D$2,tabIdiomas[#Headers]),FALSE)</f>
        <v>Partnership Composition</v>
      </c>
      <c r="F26" s="233" t="str">
        <f>VLOOKUP("% S/Total de Socios",tabIdiomas[],MATCH($D$2,tabIdiomas[#Headers]),FALSE)</f>
        <v>% Over Total Partners</v>
      </c>
      <c r="H26" s="229" t="str">
        <f>VLOOKUP("Taxa para a Actualización dos Gastos de Explotación Xerais",tabIdiomas[],MATCH($D$2,tabIdiomas[#Headers]),FALSE)</f>
        <v>General Operation Expenses Updating Rate</v>
      </c>
      <c r="I26" s="330">
        <v>3.2000000000000001E-2</v>
      </c>
    </row>
    <row r="27" spans="1:9" ht="39" x14ac:dyDescent="0.35">
      <c r="B27" s="114" t="str">
        <f>VLOOKUP("Proporción da Enerxía Compensada que se Retribuiría Económicamente pola Comercializadora de NON existir Batería Virtual",tabIdiomas[],MATCH($D$2,tabIdiomas[#Headers]),FALSE)</f>
        <v>Proportion of Compensated Energy to be Economically Retributed by the Energy Selling Company if Virtual Battery does NOT exist.</v>
      </c>
      <c r="C27" s="115">
        <v>0.75</v>
      </c>
      <c r="D27" s="1"/>
      <c r="E27" s="119" t="str">
        <f>VLOOKUP("Proporción de Socios Segmento Residencial",tabIdiomas[],MATCH($D$2,tabIdiomas[#Headers]),FALSE)</f>
        <v>Residencial Segment Partners Proportion</v>
      </c>
      <c r="F27" s="141">
        <v>0.6</v>
      </c>
      <c r="H27" s="230" t="str">
        <f>VLOOKUP("Taxa para a Actualización de 'Outros Gastos de Explotación'",tabIdiomas[],MATCH($D$2,tabIdiomas[#Headers]),FALSE)</f>
        <v>Other Operation Expenses Updating Rate</v>
      </c>
      <c r="I27" s="330">
        <v>3.2000000000000001E-2</v>
      </c>
    </row>
    <row r="28" spans="1:9" ht="26" x14ac:dyDescent="0.35">
      <c r="B28" s="116" t="str">
        <f>VLOOKUP("Proporción Autoconsumo s/ Enerxía Xerada (Mix Resid-Empr. Equilibrado)",tabIdiomas[],MATCH($D$2,tabIdiomas[#Headers]),FALSE)</f>
        <v>Self-Consumption Over Produced Energy Proportion (Resid-Corp. Balanced Mix)</v>
      </c>
      <c r="C28" s="117">
        <v>0.5</v>
      </c>
      <c r="D28" s="1"/>
      <c r="H28" s="98" t="str">
        <f>VLOOKUP("Taxa de Variación do importe máximo das tarifas",tabIdiomas[],MATCH($D$2,tabIdiomas[#Headers]),FALSE)</f>
        <v xml:space="preserve">Growth Rate of the Maximum Amount for Rates </v>
      </c>
      <c r="I28" s="331">
        <v>3.1E-2</v>
      </c>
    </row>
    <row r="29" spans="1:9" ht="26" x14ac:dyDescent="0.35">
      <c r="B29" s="118" t="str">
        <f>VLOOKUP("Proporción Autoconsumo s/ Enerxía Xerada (Mix Resid-Empr. Parcialmente Equilibrado)",tabIdiomas[],MATCH($D$2,tabIdiomas[#Headers]),FALSE)</f>
        <v>Self-Consumption Over Produced Energy Proportion (Resid-Corp. Partially Balanced Mix)</v>
      </c>
      <c r="C29" s="108">
        <v>0.4</v>
      </c>
      <c r="D29" s="1"/>
      <c r="E29" s="123" t="str">
        <f>VLOOKUP("Cotas de Socios e Outros Ingresos Mensuais",tabIdiomas[],MATCH($D$2,tabIdiomas[#Headers]),FALSE)</f>
        <v>Membership Fees and Other Monthly Incomes</v>
      </c>
      <c r="F29" s="66"/>
    </row>
    <row r="30" spans="1:9" ht="39" x14ac:dyDescent="0.35">
      <c r="B30" s="119" t="str">
        <f>VLOOKUP("Proporción Autoconsumo s/ Enerxía Xerada (Mix Resid-Empr. Desequilibrado)",tabIdiomas[],MATCH($D$2,tabIdiomas[#Headers]),FALSE)</f>
        <v>Self-Consumption Over Produced Energy Proportion (Resid-Corp. Unbalanced Mix)</v>
      </c>
      <c r="C30" s="120">
        <v>0.3</v>
      </c>
      <c r="D30" s="1"/>
      <c r="E30" s="112" t="str">
        <f>VLOOKUP("Cota Extraord. Primeiro Ano (€/Mes)",tabIdiomas[],MATCH($D$2,tabIdiomas[#Headers]),FALSE)</f>
        <v>Extraord. Fee for the First Year (€/Month)</v>
      </c>
      <c r="F30" s="91">
        <v>0</v>
      </c>
      <c r="H30" s="208" t="str">
        <f>VLOOKUP("Outras Eventuais Percepcións dos Socios, procedentes da CE, Distintas da Enerxía Producida",tabIdiomas[],MATCH($D$2,tabIdiomas[#Headers]),FALSE)</f>
        <v>Other eventual  perceptions by Partners, from the Energy Initiative Entity, Different from the Produced Energy</v>
      </c>
      <c r="I30" s="209" t="str">
        <f>VLOOKUP("Valor Anual Conxunto de Socios (€)",tabIdiomas[],MATCH($D$2,tabIdiomas[#Headers]),FALSE)</f>
        <v>Annual Amount for All Partners (€)</v>
      </c>
    </row>
    <row r="31" spans="1:9" ht="26" x14ac:dyDescent="0.35">
      <c r="D31" s="1"/>
      <c r="E31" s="112" t="str">
        <f>VLOOKUP("Outros Ingresos Mensuais (€/Mes)",tabIdiomas[],MATCH($D$2,tabIdiomas[#Headers]),FALSE)</f>
        <v>Other Monthly Incomes (€/Month)</v>
      </c>
      <c r="F31" s="124">
        <v>0</v>
      </c>
      <c r="H31" s="118" t="str">
        <f>VLOOKUP("Ingresos por Prestación Gratuíta de Outros Servizos pola Entidade Xestora da Iniciativa Comunitaria",tabIdiomas[],MATCH($D$2,tabIdiomas[#Headers]),FALSE)</f>
        <v>Income Deriving from Free-of-Charge Services provided to the Partners by the Energy Initiative Manager-Entity</v>
      </c>
      <c r="I31" s="91">
        <v>0</v>
      </c>
    </row>
    <row r="32" spans="1:9" ht="26" x14ac:dyDescent="0.35">
      <c r="B32" s="218" t="str">
        <f>VLOOKUP("Axuste de Exclusiva Aplicación para o Cálculo do Estado de Fluxos de Efectivo (EFE)",tabIdiomas[],MATCH($D$2,tabIdiomas[#Headers]),FALSE)</f>
        <v>Adjustment Only Applicable  for the Cash Flow Statement Calculation</v>
      </c>
      <c r="D32" s="1"/>
      <c r="E32" s="125" t="str">
        <f>VLOOKUP("Impacto Fiscal Trasladado a Cotas de Socios (Si/Non)",tabIdiomas[],MATCH($D$2,tabIdiomas[#Headers]),FALSE)</f>
        <v>Corporate-Tax Impact transferred to the Membership Fees (Yes/No)</v>
      </c>
      <c r="F32" s="126" t="s">
        <v>5</v>
      </c>
      <c r="H32" s="119" t="str">
        <f>VLOOKUP("Outros Ingresos Percibidos da Entidade Xestora da Iniciativa Comunitaria",tabIdiomas[],MATCH($D$2,tabIdiomas[#Headers]),FALSE)</f>
        <v>Other Incomes perceived by the Partners from the Energy Initiative Manager-Entity</v>
      </c>
      <c r="I32" s="147">
        <v>0</v>
      </c>
    </row>
    <row r="33" spans="2:10" s="4" customFormat="1" ht="29" x14ac:dyDescent="0.35">
      <c r="B33" s="219" t="str">
        <f>VLOOKUP("Inclusión do Valor da Enerxía Producida como Ingreso que Xera Fluxo de Efectivo (Si/Non)",tabIdiomas[],MATCH($D$2,tabIdiomas[#Headers]),FALSE)</f>
        <v>Inclusion of the Produced Energy Value as an Income which generates a cash flow (Yes/No)</v>
      </c>
      <c r="D33" s="5"/>
    </row>
    <row r="34" spans="2:10" s="4" customFormat="1" ht="15" thickBot="1" x14ac:dyDescent="0.4">
      <c r="B34" s="220" t="s">
        <v>7</v>
      </c>
      <c r="D34" s="5"/>
      <c r="H34" s="19"/>
      <c r="I34" s="31"/>
      <c r="J34" s="35"/>
    </row>
    <row r="35" spans="2:10" ht="15" thickTop="1" x14ac:dyDescent="0.35">
      <c r="D35" s="1"/>
      <c r="H35" s="19"/>
      <c r="I35" s="36"/>
    </row>
    <row r="36" spans="2:10" ht="26" x14ac:dyDescent="0.35">
      <c r="B36" s="223" t="str">
        <f>VLOOKUP("Determinación da Enerxía Xerada (KWh) por KWp Ao Ano",tabIdiomas[],MATCH($D$2,tabIdiomas[#Headers]),FALSE)</f>
        <v>Produced Energy (KWh per year and KWp of Peak Installed Power) Specification Method</v>
      </c>
      <c r="D36" s="1"/>
      <c r="E36" s="223" t="str">
        <f>VLOOKUP("Determinación do Consumo Mensual (KWh) do Socio Promedio Tipo",tabIdiomas[],MATCH($D$2,tabIdiomas[#Headers]),FALSE)</f>
        <v>Average Partner Monthly Electricity Consumption (KWh) Specification Method</v>
      </c>
      <c r="H36" s="19"/>
      <c r="I36" s="37"/>
      <c r="J36" s="38"/>
    </row>
    <row r="37" spans="2:10" s="4" customFormat="1" ht="15" thickBot="1" x14ac:dyDescent="0.4">
      <c r="B37" s="220" t="s">
        <v>9</v>
      </c>
      <c r="D37" s="5"/>
      <c r="E37" s="220" t="s">
        <v>9</v>
      </c>
      <c r="H37" s="19"/>
      <c r="I37" s="39"/>
    </row>
    <row r="38" spans="2:10" s="4" customFormat="1" ht="15.5" thickTop="1" thickBot="1" x14ac:dyDescent="0.4">
      <c r="B38"/>
      <c r="D38" s="5"/>
      <c r="E38"/>
    </row>
    <row r="39" spans="2:10" ht="26" x14ac:dyDescent="0.35">
      <c r="B39" s="224" t="str">
        <f>VLOOKUP("Enerxía Xerada (KWh) por KWp de Potencia Instalada ao Ano (Determinación Manual)",tabIdiomas[],MATCH($D$2,tabIdiomas[#Headers]),FALSE)</f>
        <v>Produced Energy (KWh per year and KWp of Peak Installed Power) (Manual Specification)</v>
      </c>
      <c r="D39" s="1"/>
      <c r="E39" s="224" t="str">
        <f>VLOOKUP("Consumo Eléctrico Mensual (KWh) do Socio Promedio Tipo (Determinación Manual)",tabIdiomas[],MATCH($D$2,tabIdiomas[#Headers]),FALSE)</f>
        <v>Average Partner Monthly Electricity Consumption (KWh) (Manual Specification)</v>
      </c>
      <c r="G39" s="4"/>
    </row>
    <row r="40" spans="2:10" ht="15.5" thickTop="1" thickBot="1" x14ac:dyDescent="0.4">
      <c r="B40" s="225">
        <v>1276</v>
      </c>
      <c r="D40" s="1"/>
      <c r="E40" s="225">
        <v>294.41000000000003</v>
      </c>
      <c r="G40" s="4"/>
    </row>
    <row r="41" spans="2:10" ht="15" thickTop="1" x14ac:dyDescent="0.35">
      <c r="D41" s="1"/>
      <c r="F41" s="16"/>
      <c r="G41" s="4"/>
      <c r="H41" s="41"/>
      <c r="I41" s="42"/>
    </row>
    <row r="42" spans="2:10" ht="15" thickBot="1" x14ac:dyDescent="0.4">
      <c r="B42" s="1"/>
      <c r="C42" s="43"/>
      <c r="D42" s="1"/>
      <c r="H42" s="19"/>
      <c r="I42" s="40"/>
    </row>
    <row r="43" spans="2:10" ht="48.75" customHeight="1" x14ac:dyDescent="0.35">
      <c r="B43" s="224" t="str">
        <f>VLOOKUP("Comprobacións Introdución Manual de Ratio de Produción e de Consumo do Socio Tipo cando a instalación NON se atopa en Galicia",tabIdiomas[],MATCH($D$2,tabIdiomas[#Headers]),FALSE)</f>
        <v>Production Rate and Average-Partner Consumption Manual Specification: Checks when Facilities are NOT in Galicia</v>
      </c>
      <c r="C43" s="226" t="str">
        <f>VLOOKUP("Prégase, NON CUBRIR:",tabIdiomas[],MATCH($D$2,tabIdiomas[#Headers]),FALSE)</f>
        <v>Please, do NOT fill:</v>
      </c>
      <c r="D43" s="1"/>
      <c r="E43" s="1"/>
      <c r="F43" s="17"/>
      <c r="H43" s="15"/>
      <c r="I43" s="23"/>
    </row>
    <row r="44" spans="2:10" ht="26" x14ac:dyDescent="0.35">
      <c r="B44" s="116" t="str">
        <f>VLOOKUP("Introdución Manual Enerxía Xerada por KWp Instalado",tabIdiomas[],MATCH($D$2,tabIdiomas[#Headers]),FALSE)</f>
        <v>Manual Specification of the Produced Energy per Year and KWp of Peak Installed Power</v>
      </c>
      <c r="C44" s="227" t="str" cm="1">
        <f t="array" ref="C44">_xlfn.IFS($D$2="Galego", IF($C$6="Galicia", "Verificación Non Aplicable",_xlfn.IFS($C$6="Resto de España", (IF(B37="Automática (Só Galicia)", "Verificación Errónea", "Verificación Correcta")),$C$6="Estranxeiro",(IF($B$37="Automática (Só Galicia)","Verificación Errónea","Verificación Correcta")))),$D$2="Español", IF($C$6="Galicia",  "Verificación No Aplicable",_xlfn.IFS($C$6="Resto de España", (IF(B37="Automática (Sólo Galicia)", "Verificación Errónea", "Verificación Correcta")),$C$6="Extranjero",(IF($B$37="Automática (Sólo Galicia)","Verificación Errónea","Verificación Correcta")))),$D$2="English", IF($C$6="Galicia", "Not Applicable Check", _xlfn.IFS($C$6="Rest of Spain", (IF(B37="Automatic (Only for Galicia)", "Wrong Check", "Right Check")),$C$6="Other Countries",(IF($B$37="Automatic (Only for Galicia)", "Wrong Check","Right Check")))),$D$2="Eestlane", IF($C$6="Galicia", "Pole Kohaldatav Kontrollige", _xlfn.IFS($C$6="Ülejäänud Hispaania", (IF(B37="Automaatne (Ainult Galicia Jaoks)", "Vale Kontroll", "Õige Kontroll")),$C$6="Teised Riigid",(IF($B$37="Automaatne (Ainult Galicia Jaoks)", "Vale Kontroll", "Õige Kontroll")))))</f>
        <v>Right Check</v>
      </c>
      <c r="D44" s="1"/>
      <c r="E44" s="1"/>
      <c r="F44" s="17"/>
      <c r="H44" s="30"/>
      <c r="I44" s="31"/>
    </row>
    <row r="45" spans="2:10" ht="26" x14ac:dyDescent="0.35">
      <c r="B45" s="237" t="str">
        <f>VLOOKUP("Introdución Manual do Consumo Mensual do Socio Tipo",tabIdiomas[],MATCH($D$2,tabIdiomas[#Headers]),FALSE)</f>
        <v>Manual Specification of the Average-Partner Monthly Electricity Consumption</v>
      </c>
      <c r="C45" s="238" t="str" cm="1">
        <f t="array" ref="C45">_xlfn.IFS($D$2="Galego", IF($C$6="Galicia", "Verificación Non Aplicable",_xlfn.IFS($C$6="Resto de España", (IF($E$37="Automática (Só Galicia)", "Verificación Errónea", "Verificación Correcta")),$C$6="Estranxeiro",(IF($E$37="Automática (Só Galicia)","Verificación Errónea","Verificación Correcta")))),$D$2="Español", IF($C$6="Galicia",  "Verificación No Aplicable",_xlfn.IFS($C$6="Resto de España", (IF($E$37="Automática (Sólo Galicia)", "Verificación Errónea", "Verificación Correcta")),$C$6="Extranjero",(IF($E$37="Automática (Sólo Galicia)","Verificación Errónea","Verificación Correcta")))),$D$2="English", IF($C$6="Galicia", "Not Applicable Check", _xlfn.IFS($C$6="Rest of Spain", (IF($E$37="Automatic (Only for Galicia)", "Wrong Check", "Right Check")),$C$6="Other Countries",(IF($E$37="Automatic (Only for Galicia)", "Wrong Check","Right Check")))),$D$2="Eestlane", IF($C$6="Galicia", "Pole Kohaldatav Kontrollige", _xlfn.IFS($C$6="Ülejäänud Hispaania", (IF($E$37="Automaatne (Ainult Galicia Jaoks)", "Vale Kontroll", "Õige Kontroll")),$C$6="Teised Riigid",(IF($E$37="Automaatne (Ainult Galicia Jaoks)", "Vale Kontroll", "Õige Kontroll")))))</f>
        <v>Right Check</v>
      </c>
      <c r="D45" s="1"/>
      <c r="E45" s="1"/>
      <c r="F45" s="1"/>
      <c r="H45" s="32"/>
      <c r="I45" s="33"/>
    </row>
    <row r="46" spans="2:10" ht="15" thickTop="1" x14ac:dyDescent="0.35">
      <c r="H46" s="32"/>
      <c r="I46" s="31"/>
    </row>
    <row r="47" spans="2:10" x14ac:dyDescent="0.35">
      <c r="H47" s="13"/>
      <c r="I47" s="34"/>
    </row>
    <row r="51" spans="2:10" ht="23.75" customHeight="1" x14ac:dyDescent="0.35">
      <c r="J51" s="6"/>
    </row>
    <row r="52" spans="2:10" x14ac:dyDescent="0.35">
      <c r="D52" s="1"/>
      <c r="E52" s="1"/>
      <c r="F52" s="1"/>
    </row>
    <row r="53" spans="2:10" x14ac:dyDescent="0.35">
      <c r="D53" s="1"/>
      <c r="E53" s="1"/>
      <c r="F53" s="1"/>
    </row>
    <row r="54" spans="2:10" x14ac:dyDescent="0.35">
      <c r="D54" s="1"/>
    </row>
    <row r="55" spans="2:10" x14ac:dyDescent="0.35">
      <c r="D55" s="1"/>
      <c r="F55" s="1"/>
    </row>
    <row r="56" spans="2:10" x14ac:dyDescent="0.35">
      <c r="B56" s="1"/>
      <c r="C56" s="18"/>
      <c r="D56" s="1"/>
      <c r="E56" s="1"/>
      <c r="F56" s="1"/>
    </row>
    <row r="57" spans="2:10" x14ac:dyDescent="0.35">
      <c r="B57" s="19"/>
      <c r="C57" s="20"/>
      <c r="D57" s="1"/>
      <c r="H57" s="13"/>
    </row>
    <row r="58" spans="2:10" x14ac:dyDescent="0.35">
      <c r="B58" s="19"/>
      <c r="C58" s="21"/>
      <c r="D58" s="1"/>
      <c r="H58" s="46"/>
    </row>
    <row r="59" spans="2:10" x14ac:dyDescent="0.35">
      <c r="B59" s="19"/>
      <c r="C59" s="22"/>
      <c r="D59" s="1"/>
    </row>
    <row r="60" spans="2:10" x14ac:dyDescent="0.35">
      <c r="D60" s="1"/>
      <c r="E60" s="104"/>
      <c r="F60" s="105"/>
      <c r="H60" s="47"/>
    </row>
    <row r="61" spans="2:10" x14ac:dyDescent="0.35">
      <c r="C61" s="1"/>
      <c r="D61" s="1"/>
      <c r="H61" s="48"/>
    </row>
    <row r="62" spans="2:10" x14ac:dyDescent="0.35">
      <c r="D62" s="1"/>
    </row>
    <row r="63" spans="2:10" x14ac:dyDescent="0.35">
      <c r="B63" s="15"/>
      <c r="C63" s="23"/>
    </row>
    <row r="65" spans="4:7" x14ac:dyDescent="0.35">
      <c r="D65" s="1"/>
    </row>
    <row r="66" spans="4:7" x14ac:dyDescent="0.35">
      <c r="D66" s="7"/>
    </row>
    <row r="67" spans="4:7" x14ac:dyDescent="0.35">
      <c r="D67" s="7"/>
    </row>
    <row r="68" spans="4:7" x14ac:dyDescent="0.35">
      <c r="D68" s="7"/>
    </row>
    <row r="69" spans="4:7" x14ac:dyDescent="0.35">
      <c r="D69" s="1"/>
    </row>
    <row r="71" spans="4:7" x14ac:dyDescent="0.35">
      <c r="E71" s="15"/>
      <c r="F71" s="23"/>
      <c r="G71" s="15"/>
    </row>
    <row r="73" spans="4:7" x14ac:dyDescent="0.35">
      <c r="F73" s="24"/>
    </row>
    <row r="74" spans="4:7" x14ac:dyDescent="0.35">
      <c r="E74" s="13"/>
      <c r="F74" s="25"/>
    </row>
    <row r="76" spans="4:7" x14ac:dyDescent="0.35">
      <c r="E76" s="26"/>
      <c r="F76" s="27"/>
    </row>
    <row r="77" spans="4:7" x14ac:dyDescent="0.35">
      <c r="F77" s="28"/>
    </row>
    <row r="78" spans="4:7" x14ac:dyDescent="0.35">
      <c r="F78" s="28"/>
    </row>
    <row r="79" spans="4:7" x14ac:dyDescent="0.35">
      <c r="F79" s="28"/>
    </row>
    <row r="80" spans="4:7" x14ac:dyDescent="0.35">
      <c r="E80" s="10"/>
      <c r="F80" s="29"/>
    </row>
  </sheetData>
  <sheetProtection algorithmName="SHA-512" hashValue="ruL3PRKVwmbGFVpdyfFhGNfNsALXZkp72svGcsDCf63h1XR31kSDrRqrkIEZCN/0lItE1R3Asm7oM2Hy9WYLlg==" saltValue="CKcghgjOu9qgUhjt9qe42w==" spinCount="100000" sheet="1" objects="1" scenarios="1"/>
  <protectedRanges>
    <protectedRange sqref="C6:C8 B37 E37 B40 E40" name="Hipóteses Xerais 2"/>
    <protectedRange sqref="C11:C16 F5:F8 I5:I6 F11 F13:F16 F18:F20 I19:I20 I11:I16 F23:F24 F27 I24:I28 C20:C30 F30:F32 I31:I32 B34" name="Hipóteses Xerais"/>
  </protectedRanges>
  <dataValidations count="12">
    <dataValidation type="list" allowBlank="1" showInputMessage="1" showErrorMessage="1" sqref="L11 H58 F60" xr:uid="{8FFB3558-6B7E-4D94-9B9E-F292F9BF4B97}">
      <formula1>"Si,Non"</formula1>
    </dataValidation>
    <dataValidation type="whole" allowBlank="1" showInputMessage="1" showErrorMessage="1" errorTitle="NUMERO DE MESES NO VALIDO" error="El número de meses indicado no tiene sentido" promptTitle="EL NUMERO DE MES ENTRE 1 y 12" sqref="C61:C62 F16 F17" xr:uid="{364726F3-6BB5-4417-8F74-97ACEEEE0B6C}">
      <formula1>1</formula1>
      <formula2>12</formula2>
    </dataValidation>
    <dataValidation type="list" allowBlank="1" showInputMessage="1" showErrorMessage="1" sqref="F5" xr:uid="{371893FF-082B-4421-A9FF-5196EEDEC799}">
      <formula1>"Galicia"</formula1>
    </dataValidation>
    <dataValidation type="decimal" allowBlank="1" showInputMessage="1" showErrorMessage="1" sqref="H61 I13 I16" xr:uid="{796E4281-5EA0-4C1C-A28D-88B8EF967F4D}">
      <formula1>0</formula1>
      <formula2>100000</formula2>
    </dataValidation>
    <dataValidation type="list" allowBlank="1" showInputMessage="1" showErrorMessage="1" sqref="C6" xr:uid="{5CFEA790-92D1-44F9-9555-16F342E01068}">
      <formula1>RespPreg1</formula1>
    </dataValidation>
    <dataValidation type="list" allowBlank="1" showInputMessage="1" showErrorMessage="1" sqref="D2" xr:uid="{AA81AE5E-0B1A-4326-BA66-704C8F586233}">
      <formula1>"English"</formula1>
    </dataValidation>
    <dataValidation type="decimal" allowBlank="1" showInputMessage="1" showErrorMessage="1" sqref="F11 I15 C30 F24 C12 C14 C16 I19 F27 C21:C23 C25 C27 C28 C29 I24 I25:I26 I28 I27" xr:uid="{7B3A90B7-C993-43DF-A7A8-70655D23C0AF}">
      <formula1>0</formula1>
      <formula2>1</formula2>
    </dataValidation>
    <dataValidation type="decimal" operator="greaterThan" allowBlank="1" showInputMessage="1" showErrorMessage="1" sqref="B40 I11 E40" xr:uid="{7568AD85-8D37-42AD-8D87-F308A9F213E1}">
      <formula1>0</formula1>
    </dataValidation>
    <dataValidation type="decimal" allowBlank="1" showInputMessage="1" showErrorMessage="1" sqref="F14:F15 C11 F13 I20" xr:uid="{05886FD0-8E8F-40CE-B817-C9E67B560A67}">
      <formula1>0</formula1>
      <formula2>100</formula2>
    </dataValidation>
    <dataValidation type="decimal" operator="greaterThanOrEqual" allowBlank="1" showInputMessage="1" showErrorMessage="1" sqref="C20 F30:F31 I5:I6 I31:I32" xr:uid="{D9B89711-1AC1-47A7-A88B-5CF2C514EF8E}">
      <formula1>0</formula1>
    </dataValidation>
    <dataValidation type="whole" allowBlank="1" showInputMessage="1" showErrorMessage="1" sqref="C13" xr:uid="{157EA900-3D27-41AB-BA8D-A44E84CB1D8E}">
      <formula1>0</formula1>
      <formula2>12</formula2>
    </dataValidation>
    <dataValidation type="decimal" allowBlank="1" showInputMessage="1" showErrorMessage="1" errorTitle="NUMERO DE MESES NO VALIDO" error="El número de meses indicado no tiene sentido" promptTitle="EL NUMERO DE MES ENTRE 1 y 12" sqref="F18 F19 F20" xr:uid="{264541D6-FEC6-4F75-9F2B-7411BE2A0125}">
      <formula1>0</formula1>
      <formula2>1</formula2>
    </dataValidation>
  </dataValidations>
  <printOptions horizontalCentered="1" verticalCentered="1"/>
  <pageMargins left="0.23622047244094491" right="0.23622047244094491" top="0.15748031496062992" bottom="0.15748031496062992" header="0.31496062992125984" footer="0.31496062992125984"/>
  <pageSetup paperSize="9" fitToHeight="0" orientation="landscape" horizontalDpi="1200" verticalDpi="1200" r:id="rId1"/>
  <extLst>
    <ext xmlns:x14="http://schemas.microsoft.com/office/spreadsheetml/2009/9/main" uri="{78C0D931-6437-407d-A8EE-F0AAD7539E65}">
      <x14:conditionalFormattings>
        <x14:conditionalFormatting xmlns:xm="http://schemas.microsoft.com/office/excel/2006/main">
          <x14:cfRule type="cellIs" priority="1" operator="equal" id="{A3FE0FED-330E-4ACE-A93C-C62592AB8939}">
            <xm:f>'Cuestións e Respostas'!$AV$3</xm:f>
            <x14:dxf>
              <fill>
                <patternFill>
                  <bgColor theme="9" tint="0.59996337778862885"/>
                </patternFill>
              </fill>
            </x14:dxf>
          </x14:cfRule>
          <x14:cfRule type="cellIs" priority="2" operator="equal" id="{E6FE1A0C-C46D-47DC-9C68-2B1FBE126004}">
            <xm:f>'Cuestións e Respostas'!$AV$5</xm:f>
            <x14:dxf>
              <fill>
                <patternFill>
                  <bgColor theme="5" tint="0.39994506668294322"/>
                </patternFill>
              </fill>
            </x14:dxf>
          </x14:cfRule>
          <x14:cfRule type="cellIs" priority="3" operator="equal" id="{370BEB7B-AB55-4834-970D-A25DB164D860}">
            <xm:f>'Cuestións e Respostas'!$AV$4</xm:f>
            <x14:dxf>
              <fill>
                <patternFill>
                  <bgColor theme="7" tint="0.79998168889431442"/>
                </patternFill>
              </fill>
            </x14:dxf>
          </x14:cfRule>
          <xm:sqref>C44:C45</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r:uid="{8E0A8C57-CB18-402E-BE5E-A9EFDC7AF57D}">
          <x14:formula1>
            <xm:f>'Cuestións e Respostas'!$V$3:$V$4</xm:f>
          </x14:formula1>
          <xm:sqref>C24</xm:sqref>
        </x14:dataValidation>
        <x14:dataValidation type="list" allowBlank="1" showInputMessage="1" showErrorMessage="1" xr:uid="{A58014DF-40A0-4D36-8D8A-59788EF46B64}">
          <x14:formula1>
            <xm:f>'Cuestións e Respostas'!$AH$3:$AH$4</xm:f>
          </x14:formula1>
          <xm:sqref>B37 E37</xm:sqref>
        </x14:dataValidation>
        <x14:dataValidation type="list" allowBlank="1" showInputMessage="1" showErrorMessage="1" xr:uid="{D5090C44-04C0-450A-801D-9260B8D9615D}">
          <x14:formula1>
            <xm:f>'Cuestións e Respostas'!$L$3:$L$4</xm:f>
          </x14:formula1>
          <xm:sqref>I14</xm:sqref>
        </x14:dataValidation>
        <x14:dataValidation type="list" allowBlank="1" showInputMessage="1" showErrorMessage="1" xr:uid="{51099207-F657-40D2-A3E5-8F2BDA6369CE}">
          <x14:formula1>
            <xm:f>'Cuestións e Respostas'!$F$3:$F$6</xm:f>
          </x14:formula1>
          <xm:sqref>F6</xm:sqref>
        </x14:dataValidation>
        <x14:dataValidation type="list" allowBlank="1" showInputMessage="1" showErrorMessage="1" xr:uid="{68BA6756-C985-4E3A-8C9A-EC3A2E94E6C8}">
          <x14:formula1>
            <xm:f>'Cuestións e Respostas'!$H$3:$H$4</xm:f>
          </x14:formula1>
          <xm:sqref>C15</xm:sqref>
        </x14:dataValidation>
        <x14:dataValidation type="list" allowBlank="1" showInputMessage="1" showErrorMessage="1" xr:uid="{F9993ADE-03D1-49BA-B0EF-BB670B31024A}">
          <x14:formula1>
            <xm:f>'Cuestións e Respostas'!$J$3:$J$4</xm:f>
          </x14:formula1>
          <xm:sqref>I12</xm:sqref>
        </x14:dataValidation>
        <x14:dataValidation type="list" allowBlank="1" showInputMessage="1" showErrorMessage="1" xr:uid="{F971E148-39EC-47DB-9D8D-0386EC87C1B5}">
          <x14:formula1>
            <xm:f>'Cuestións e Respostas'!$R$3:$R$4</xm:f>
          </x14:formula1>
          <xm:sqref>F23</xm:sqref>
        </x14:dataValidation>
        <x14:dataValidation type="list" allowBlank="1" showInputMessage="1" showErrorMessage="1" xr:uid="{143C48AC-8F86-4B94-8A34-8F765ADA90E1}">
          <x14:formula1>
            <xm:f>'Cuestións e Respostas'!$T$3:$T$4</xm:f>
          </x14:formula1>
          <xm:sqref>F32</xm:sqref>
        </x14:dataValidation>
        <x14:dataValidation type="list" allowBlank="1" showInputMessage="1" showErrorMessage="1" xr:uid="{32727D2A-E39F-447E-84DE-EE30642F3F7C}">
          <x14:formula1>
            <xm:f>'Cuestións e Respostas'!$X$3:$X$4</xm:f>
          </x14:formula1>
          <xm:sqref>C26</xm:sqref>
        </x14:dataValidation>
        <x14:dataValidation type="list" allowBlank="1" showInputMessage="1" showErrorMessage="1" xr:uid="{B4DBD824-FBC2-4E47-865A-5AC6D217499C}">
          <x14:formula1>
            <xm:f>'Cuestións e Respostas'!$AB$3:$AB$4</xm:f>
          </x14:formula1>
          <xm:sqref>B34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B85E8-818B-4790-8270-EFBA5CD1C445}">
  <sheetPr>
    <tabColor theme="9" tint="0.39997558519241921"/>
    <pageSetUpPr fitToPage="1"/>
  </sheetPr>
  <dimension ref="A1:L80"/>
  <sheetViews>
    <sheetView topLeftCell="A27" zoomScale="90" zoomScaleNormal="90" workbookViewId="0">
      <selection activeCell="E37" sqref="E37"/>
    </sheetView>
  </sheetViews>
  <sheetFormatPr baseColWidth="10" defaultColWidth="11.453125" defaultRowHeight="14.5" x14ac:dyDescent="0.35"/>
  <cols>
    <col min="2" max="2" width="48.453125" customWidth="1"/>
    <col min="3" max="3" width="23.1796875" customWidth="1"/>
    <col min="4" max="4" width="13.1796875" bestFit="1" customWidth="1"/>
    <col min="5" max="5" width="35.1796875" customWidth="1"/>
    <col min="6" max="6" width="15.54296875" customWidth="1"/>
    <col min="7" max="7" width="13.81640625" customWidth="1"/>
    <col min="8" max="8" width="44.1796875" customWidth="1"/>
    <col min="9" max="9" width="19.1796875" customWidth="1"/>
    <col min="10" max="10" width="19.453125" customWidth="1"/>
  </cols>
  <sheetData>
    <row r="1" spans="2:12" ht="15" thickBot="1" x14ac:dyDescent="0.4">
      <c r="B1" s="1"/>
      <c r="C1" s="1"/>
      <c r="D1" s="1"/>
      <c r="E1" s="1"/>
      <c r="F1" s="1"/>
    </row>
    <row r="2" spans="2:12" ht="15.5" thickTop="1" thickBot="1" x14ac:dyDescent="0.4">
      <c r="B2" s="1"/>
      <c r="C2" s="240" t="str">
        <f>VLOOKUP("Lingua",tabIdiomas[],MATCH($D$2,tabIdiomas[#Headers]),FALSE)</f>
        <v>Lingua</v>
      </c>
      <c r="D2" s="247" t="s">
        <v>10</v>
      </c>
      <c r="E2" s="1"/>
      <c r="F2" s="1"/>
    </row>
    <row r="3" spans="2:12" ht="22" thickTop="1" thickBot="1" x14ac:dyDescent="0.4">
      <c r="B3" s="2" t="str">
        <f>VLOOKUP("Hipóteses Xerais",tabIdiomas[],MATCH($D$2,tabIdiomas[#Headers]),FALSE)</f>
        <v>Hipóteses Xerais</v>
      </c>
      <c r="C3" s="1"/>
      <c r="D3" s="1"/>
      <c r="E3" s="1"/>
      <c r="F3" s="1"/>
    </row>
    <row r="4" spans="2:12" ht="22" thickTop="1" thickBot="1" x14ac:dyDescent="0.4">
      <c r="C4" s="2"/>
      <c r="D4" s="2"/>
      <c r="E4" s="123" t="str">
        <f>VLOOKUP("Emprazamento das Instalacións (Galicia)",tabIdiomas[],MATCH($D$2,tabIdiomas[#Headers]),FALSE)</f>
        <v>Emprazamento das Instalacións (Galicia)</v>
      </c>
      <c r="F4" s="66"/>
      <c r="H4" s="123" t="str">
        <f>VLOOKUP("Dispoñibilidade de Terreos para Emprazar as Instalacións",tabIdiomas[],MATCH($D$2,tabIdiomas[#Headers]),FALSE)</f>
        <v>Dispoñibilidade de Terreos para Emprazar as Instalacións</v>
      </c>
      <c r="I4" s="66"/>
    </row>
    <row r="5" spans="2:12" ht="15" thickTop="1" x14ac:dyDescent="0.35">
      <c r="B5" s="123" t="str">
        <f>VLOOKUP("Emprazamento das Instalacións (Xeral)",tabIdiomas[],MATCH($D$2,tabIdiomas[#Headers]),FALSE)</f>
        <v>Emprazamento das Instalacións (Xeral)</v>
      </c>
      <c r="C5" s="66"/>
      <c r="D5" s="1"/>
      <c r="E5" s="90" t="str">
        <f>VLOOKUP("CC.AA.",tabIdiomas[],MATCH($D$2,tabIdiomas[#Headers]),FALSE)</f>
        <v>CC.AA.</v>
      </c>
      <c r="F5" s="142" t="s">
        <v>1</v>
      </c>
      <c r="H5" s="90" t="str">
        <f>VLOOKUP("Superficie de Terreo Dispoñible (m2)",tabIdiomas[],MATCH($D$2,tabIdiomas[#Headers]),FALSE)</f>
        <v>Superficie de Terreo Dispoñible (m2)</v>
      </c>
      <c r="I5" s="257">
        <f>'General Hipotheses (INTRO)'!I5</f>
        <v>400</v>
      </c>
    </row>
    <row r="6" spans="2:12" ht="15" thickBot="1" x14ac:dyDescent="0.4">
      <c r="B6" s="90" t="str">
        <f>VLOOKUP("Área Xeográfica",tabIdiomas[],MATCH($D$2,tabIdiomas[#Headers]),FALSE)</f>
        <v>Área Xeográfica</v>
      </c>
      <c r="C6" s="259" t="str">
        <f>INDEX(tabRespPreg1[Respuestas Pregunta],MATCH('General Hipotheses (INTRO)'!C6,tabRespPreg1[Opciones mostradas],0),1)</f>
        <v>Estranxeiro</v>
      </c>
      <c r="D6" s="1"/>
      <c r="E6" s="90" t="str">
        <f>VLOOKUP("Provincia",tabIdiomas[],MATCH($D$2,tabIdiomas[#Headers]),FALSE)</f>
        <v>Provincia</v>
      </c>
      <c r="F6" s="260" t="str">
        <f>INDEX(tabRespPreg24_1[Respuestas Pregunta],MATCH('General Hipotheses (INTRO)'!F6,tabRespPreg24_1[Opciones mostradas],0),1)</f>
        <v>Pontevedra</v>
      </c>
      <c r="H6" s="232" t="str">
        <f>VLOOKUP("Superficie Precisa para Corredores (m2)",tabIdiomas[],MATCH($D$2,tabIdiomas[#Headers]),FALSE)</f>
        <v>Superficie Precisa para Corredores (m2)</v>
      </c>
      <c r="I6" s="258">
        <f>'General Hipotheses (INTRO)'!I6</f>
        <v>50</v>
      </c>
    </row>
    <row r="7" spans="2:12" ht="15" thickTop="1" x14ac:dyDescent="0.35">
      <c r="B7" s="90" t="str">
        <f>VLOOKUP("Provincia ou Rexión",tabIdiomas[],MATCH($D$2,tabIdiomas[#Headers]),FALSE)</f>
        <v>Provincia ou Rexión</v>
      </c>
      <c r="C7" s="248" t="str">
        <f>'General Hipotheses (INTRO)'!$C$7</f>
        <v>******</v>
      </c>
      <c r="D7" s="1"/>
      <c r="E7" s="90" t="str">
        <f>VLOOKUP("Concello",tabIdiomas[],MATCH($D$2,tabIdiomas[#Headers]),FALSE)</f>
        <v>Concello</v>
      </c>
      <c r="F7" s="250" t="str">
        <f>'General Hipotheses (INTRO)'!F7</f>
        <v>******</v>
      </c>
    </row>
    <row r="8" spans="2:12" ht="15" thickBot="1" x14ac:dyDescent="0.4">
      <c r="B8" s="98" t="str">
        <f>VLOOKUP("Concello ou Termo Municipal",tabIdiomas[],MATCH($D$2,tabIdiomas[#Headers]),FALSE)</f>
        <v>Concello ou Termo Municipal</v>
      </c>
      <c r="C8" s="249" t="str">
        <f>'General Hipotheses (INTRO)'!$C$8</f>
        <v>******</v>
      </c>
      <c r="D8" s="1"/>
      <c r="E8" s="98" t="str">
        <f>VLOOKUP("Parroquia",tabIdiomas[],MATCH($D$2,tabIdiomas[#Headers]),FALSE)</f>
        <v>Parroquia</v>
      </c>
      <c r="F8" s="251" t="str">
        <f>'General Hipotheses (INTRO)'!F8</f>
        <v>******</v>
      </c>
    </row>
    <row r="9" spans="2:12" ht="15.5" thickTop="1" thickBot="1" x14ac:dyDescent="0.4">
      <c r="B9" s="44"/>
      <c r="C9" s="45"/>
      <c r="D9" s="1"/>
      <c r="E9" s="1"/>
      <c r="F9" s="1"/>
    </row>
    <row r="10" spans="2:12" ht="15" thickTop="1" x14ac:dyDescent="0.35">
      <c r="B10" s="127" t="str">
        <f>VLOOKUP("Hipóteses Xerais",tabIdiomas[],MATCH($D$2,tabIdiomas[#Headers]),FALSE)</f>
        <v>Hipóteses Xerais</v>
      </c>
      <c r="C10" s="128"/>
      <c r="D10" s="1"/>
      <c r="E10" s="123" t="str">
        <f>VLOOKUP("Financiamento do Proxecto",tabIdiomas[],MATCH($D$2,tabIdiomas[#Headers]),FALSE)</f>
        <v>Financiamento do Proxecto</v>
      </c>
      <c r="F10" s="134"/>
      <c r="H10" s="123" t="str">
        <f>VLOOKUP("Desglose do Investimento: Instalacións e Gastos de Constitución",tabIdiomas[],MATCH($D$2,tabIdiomas[#Headers]),FALSE)</f>
        <v>Desglose do Investimento: Instalacións e Gastos de Constitución</v>
      </c>
      <c r="I10" s="134"/>
      <c r="L10" s="13"/>
    </row>
    <row r="11" spans="2:12" ht="26" x14ac:dyDescent="0.35">
      <c r="B11" s="112" t="str">
        <f>VLOOKUP("Prazo da Instalación (Anos)",tabIdiomas[],MATCH($D$2,tabIdiomas[#Headers]),FALSE)</f>
        <v>Prazo da Instalación (Anos)</v>
      </c>
      <c r="C11" s="252">
        <f>'General Hipotheses (INTRO)'!C11</f>
        <v>25</v>
      </c>
      <c r="D11" s="1"/>
      <c r="E11" s="118" t="str">
        <f>VLOOKUP("% Financiamento Alleo do investimento (Débeda)",tabIdiomas[],MATCH($D$2,tabIdiomas[#Headers]),FALSE)</f>
        <v>% Financiamento Alleo do investimento (Débeda)</v>
      </c>
      <c r="F11" s="261">
        <f>'General Hipotheses (INTRO)'!F11</f>
        <v>0</v>
      </c>
      <c r="H11" s="112" t="str">
        <f>VLOOKUP("Ratio de Investimento s/ Potencia Instalada (€/kW)",tabIdiomas[],MATCH($D$2,tabIdiomas[#Headers]),FALSE)</f>
        <v>Ratio de Investimento s/ Potencia Instalada (€/kW)</v>
      </c>
      <c r="I11" s="265">
        <f>'General Hipotheses (INTRO)'!I11</f>
        <v>1000</v>
      </c>
      <c r="L11" s="46"/>
    </row>
    <row r="12" spans="2:12" x14ac:dyDescent="0.35">
      <c r="B12" s="90" t="str">
        <f>VLOOKUP("IVE - Venda de Mercaderías, Gastos e Investimentos (%)",tabIdiomas[],MATCH($D$2,tabIdiomas[#Headers]),FALSE)</f>
        <v>IVE - Venda de Mercaderías, Gastos e Investimentos (%)</v>
      </c>
      <c r="C12" s="253">
        <f>'General Hipotheses (INTRO)'!C12</f>
        <v>0.21</v>
      </c>
      <c r="D12" s="1"/>
      <c r="E12" s="90"/>
      <c r="F12" s="136"/>
      <c r="H12" s="118" t="str">
        <f>VLOOKUP("Necesidade de Novo CUPS, Propio (Si/Non)",tabIdiomas[],MATCH($D$2,tabIdiomas[#Headers]),FALSE)</f>
        <v>Necesidade de Novo CUPS, Propio (Si/Non)</v>
      </c>
      <c r="I12" s="255" t="str">
        <f>INDEX(tabRespPreg156[Respuestas Pregunta],MATCH('General Hipotheses (INTRO)'!I12,tabRespPreg156[Opciones mostradas],0),1)</f>
        <v>Non</v>
      </c>
    </row>
    <row r="13" spans="2:12" ht="26" x14ac:dyDescent="0.35">
      <c r="B13" s="90" t="str">
        <f>VLOOKUP("IVE - Período de Liquidación (Meses)",tabIdiomas[],MATCH($D$2,tabIdiomas[#Headers]),FALSE)</f>
        <v>IVE - Período de Liquidación (Meses)</v>
      </c>
      <c r="C13" s="254">
        <f>'General Hipotheses (INTRO)'!C13</f>
        <v>3</v>
      </c>
      <c r="D13" s="1"/>
      <c r="E13" s="112" t="str">
        <f>VLOOKUP("Prazo (Anos)",tabIdiomas[],MATCH($D$2,tabIdiomas[#Headers]),FALSE)</f>
        <v>Prazo (Anos)</v>
      </c>
      <c r="F13" s="252">
        <f>'General Hipotheses (INTRO)'!F13</f>
        <v>15</v>
      </c>
      <c r="H13" s="118" t="str">
        <f>VLOOKUP("Custo de Investimento Vinculado á Obtención do Novo CUPS (€)",tabIdiomas[],MATCH($D$2,tabIdiomas[#Headers]),FALSE)</f>
        <v>Custo de Investimento Vinculado á Obtención do Novo CUPS (€)</v>
      </c>
      <c r="I13" s="266">
        <f>'General Hipotheses (INTRO)'!I13</f>
        <v>800</v>
      </c>
    </row>
    <row r="14" spans="2:12" ht="26" x14ac:dyDescent="0.35">
      <c r="B14" s="112" t="str">
        <f>VLOOKUP("Tipo Impositivo IS (%)",tabIdiomas[],MATCH($D$2,tabIdiomas[#Headers]),FALSE)</f>
        <v>Tipo Impositivo IS (%)</v>
      </c>
      <c r="C14" s="253">
        <f>'General Hipotheses (INTRO)'!C14</f>
        <v>0.25</v>
      </c>
      <c r="D14" s="1"/>
      <c r="E14" s="118" t="str">
        <f>VLOOKUP("Período de Carencia de Capital (Anos)",tabIdiomas[],MATCH($D$2,tabIdiomas[#Headers]),FALSE)</f>
        <v>Período de Carencia de Capital (Anos)</v>
      </c>
      <c r="F14" s="262">
        <f>'General Hipotheses (INTRO)'!F14</f>
        <v>0</v>
      </c>
      <c r="H14" s="118" t="str">
        <f>VLOOKUP("Gastos de Constitución (Importe Fixo ou Proporcional ao Investimento)",tabIdiomas[],MATCH($D$2,tabIdiomas[#Headers]),FALSE)</f>
        <v>Gastos de Constitución (Importe Fixo ou Proporcional ao Investimento)</v>
      </c>
      <c r="I14" s="255" t="str">
        <f>INDEX(tabRespPreg1568[Respuestas Pregunta],MATCH('General Hipotheses (INTRO)'!I14,tabRespPreg1568[Opciones mostradas],0),1)</f>
        <v>Fixo</v>
      </c>
    </row>
    <row r="15" spans="2:12" ht="26" x14ac:dyDescent="0.35">
      <c r="B15" s="132" t="str">
        <f>VLOOKUP("Necesidade de Prestación de Garantía á Administración (Si / Non)",tabIdiomas[],MATCH($D$2,tabIdiomas[#Headers]),FALSE)</f>
        <v>Necesidade de Prestación de Garantía á Administración (Si / Non)</v>
      </c>
      <c r="C15" s="255" t="str">
        <f>INDEX(tabRespPreg15[Respuestas Pregunta],MATCH('General Hipotheses (INTRO)'!C15,tabRespPreg15[Opciones mostradas],0),1)</f>
        <v>Non</v>
      </c>
      <c r="D15" s="1"/>
      <c r="E15" s="118" t="str">
        <f>VLOOKUP("Periodo de Carencia de Xuros (Anos)",tabIdiomas[],MATCH($D$2,tabIdiomas[#Headers]),FALSE)</f>
        <v>Periodo de Carencia de Xuros (Anos)</v>
      </c>
      <c r="F15" s="262">
        <f>'General Hipotheses (INTRO)'!F15</f>
        <v>0</v>
      </c>
      <c r="H15" s="118" t="str">
        <f>VLOOKUP("Gastos de Constitución (Importe Proporcional, % s/Investimento Inicial, se Aplicable)",tabIdiomas[],MATCH($D$2,tabIdiomas[#Headers]),FALSE)</f>
        <v>Gastos de Constitución (Importe Proporcional, % s/Investimento Inicial, se Aplicable)</v>
      </c>
      <c r="I15" s="253">
        <f>'General Hipotheses (INTRO)'!I15</f>
        <v>0.01</v>
      </c>
    </row>
    <row r="16" spans="2:12" ht="26.5" thickBot="1" x14ac:dyDescent="0.4">
      <c r="B16" s="133" t="str">
        <f>VLOOKUP("Remuneración Caixa (%)",tabIdiomas[],MATCH($D$2,tabIdiomas[#Headers]),FALSE)</f>
        <v>Remuneración Caixa (%)</v>
      </c>
      <c r="C16" s="256">
        <f>'General Hipotheses (INTRO)'!C16</f>
        <v>0</v>
      </c>
      <c r="D16" s="1"/>
      <c r="E16" s="118" t="str">
        <f>VLOOKUP("Número de Meses a Considerar no Primeiro Ano",tabIdiomas[],MATCH($D$2,tabIdiomas[#Headers]),FALSE)</f>
        <v>Número de Meses a Considerar no Primeiro Ano</v>
      </c>
      <c r="F16" s="263">
        <f>'General Hipotheses (INTRO)'!F16</f>
        <v>12</v>
      </c>
      <c r="H16" s="119" t="str">
        <f>VLOOKUP("Gastos de Constitución (Importe Fixo, se Aplicable) (€)",tabIdiomas[],MATCH($D$2,tabIdiomas[#Headers]),FALSE)</f>
        <v>Gastos de Constitución (Importe Fixo, se Aplicable) (€)</v>
      </c>
      <c r="I16" s="267">
        <f>'General Hipotheses (INTRO)'!I16</f>
        <v>150</v>
      </c>
    </row>
    <row r="17" spans="1:9" ht="15.5" thickTop="1" thickBot="1" x14ac:dyDescent="0.4">
      <c r="D17" s="1"/>
      <c r="E17" s="112"/>
      <c r="F17" s="138"/>
    </row>
    <row r="18" spans="1:9" ht="15.5" thickTop="1" thickBot="1" x14ac:dyDescent="0.4">
      <c r="D18" s="1"/>
      <c r="E18" s="230" t="str">
        <f>VLOOKUP("Euribor (%)",tabIdiomas[],MATCH($D$2,tabIdiomas[#Headers]),FALSE)</f>
        <v>Euribor (%)</v>
      </c>
      <c r="F18" s="261">
        <f>'General Hipotheses (INTRO)'!F18</f>
        <v>3.6859999999999997E-2</v>
      </c>
      <c r="H18" s="123" t="str">
        <f>VLOOKUP("Desglose do Investimento: Datos Relativos ao Inversor",tabIdiomas[],MATCH($D$2,tabIdiomas[#Headers]),FALSE)</f>
        <v>Desglose do Investimento: Datos Relativos ao Inversor</v>
      </c>
      <c r="I18" s="134"/>
    </row>
    <row r="19" spans="1:9" ht="27" thickTop="1" thickBot="1" x14ac:dyDescent="0.4">
      <c r="B19" s="122" t="str">
        <f>VLOOKUP("Hipóteses Relativas á Enerxía",tabIdiomas[],MATCH($D$2,tabIdiomas[#Headers]),FALSE)</f>
        <v>Hipóteses Relativas á Enerxía</v>
      </c>
      <c r="C19" s="122"/>
      <c r="D19" s="1"/>
      <c r="E19" s="90" t="str">
        <f>VLOOKUP("Marxe sobre Euribor (%)",tabIdiomas[],MATCH($D$2,tabIdiomas[#Headers]),FALSE)</f>
        <v>Marxe sobre Euribor (%)</v>
      </c>
      <c r="F19" s="261">
        <f>'General Hipotheses (INTRO)'!F19</f>
        <v>0.03</v>
      </c>
      <c r="H19" s="148" t="str">
        <f>VLOOKUP("Investimento Inversor (% s/ Invest. Inicial en Instalacións)",tabIdiomas[],MATCH($D$2,tabIdiomas[#Headers]),FALSE)</f>
        <v>Investimento Inversor (% s/ Invest. Inicial en Instalacións)</v>
      </c>
      <c r="I19" s="268">
        <f>'General Hipotheses (INTRO)'!I19</f>
        <v>0.2</v>
      </c>
    </row>
    <row r="20" spans="1:9" ht="15.5" thickTop="1" thickBot="1" x14ac:dyDescent="0.4">
      <c r="A20" s="3"/>
      <c r="B20" s="96" t="str">
        <f>VLOOKUP("Prezo de Referencia de Mercado da Electricidade (€/MWh)",tabIdiomas[],MATCH($D$2,tabIdiomas[#Headers]),FALSE)</f>
        <v>Prezo de Referencia de Mercado da Electricidade (€/MWh)</v>
      </c>
      <c r="C20" s="270">
        <f>'General Hipotheses (INTRO)'!C20</f>
        <v>100</v>
      </c>
      <c r="E20" s="98" t="str">
        <f>VLOOKUP("Comisión de Apertura (%)",tabIdiomas[],MATCH($D$2,tabIdiomas[#Headers]),FALSE)</f>
        <v>Comisión de Apertura (%)</v>
      </c>
      <c r="F20" s="264">
        <f>'General Hipotheses (INTRO)'!F20</f>
        <v>3.0000000000000001E-3</v>
      </c>
      <c r="H20" s="119" t="str">
        <f>VLOOKUP("Prazo Invest. Inversor (Vida Útil Estimada)",tabIdiomas[],MATCH($D$2,tabIdiomas[#Headers]),FALSE)</f>
        <v>Prazo Invest. Inversor (Vida Útil Estimada)</v>
      </c>
      <c r="I20" s="269">
        <f>'General Hipotheses (INTRO)'!I20</f>
        <v>15</v>
      </c>
    </row>
    <row r="21" spans="1:9" ht="15.5" thickTop="1" thickBot="1" x14ac:dyDescent="0.4">
      <c r="B21" s="90" t="str">
        <f>VLOOKUP("Prezo Autoconsumo (% sobre Prezo Medio)",tabIdiomas[],MATCH($D$2,tabIdiomas[#Headers]),FALSE)</f>
        <v>Prezo Autoconsumo (% sobre Prezo Medio)</v>
      </c>
      <c r="C21" s="271">
        <f>'General Hipotheses (INTRO)'!C21</f>
        <v>1</v>
      </c>
      <c r="D21" s="1"/>
      <c r="H21" s="26"/>
      <c r="I21" s="23"/>
    </row>
    <row r="22" spans="1:9" ht="15.5" thickTop="1" thickBot="1" x14ac:dyDescent="0.4">
      <c r="B22" s="90" t="str">
        <f>VLOOKUP("Prezo Compensación (% sobre Prezo Medio)",tabIdiomas[],MATCH($D$2,tabIdiomas[#Headers]),FALSE)</f>
        <v>Prezo Compensación (% sobre Prezo Medio)</v>
      </c>
      <c r="C22" s="271">
        <f>'General Hipotheses (INTRO)'!C22</f>
        <v>0.5</v>
      </c>
      <c r="D22" s="1"/>
      <c r="E22" s="123" t="str">
        <f>VLOOKUP("Subvención Pública",tabIdiomas[],MATCH($D$2,tabIdiomas[#Headers]),FALSE)</f>
        <v>Subvención Pública</v>
      </c>
      <c r="F22" s="134"/>
      <c r="H22" s="30"/>
      <c r="I22" s="49"/>
    </row>
    <row r="23" spans="1:9" ht="15" thickTop="1" x14ac:dyDescent="0.35">
      <c r="B23" s="90" t="str">
        <f>VLOOKUP("Prezo Venda (% sobre Prezo Medio)",tabIdiomas[],MATCH($D$2,tabIdiomas[#Headers]),FALSE)</f>
        <v>Prezo Venda (% sobre Prezo Medio)</v>
      </c>
      <c r="C23" s="271">
        <f>'General Hipotheses (INTRO)'!C23</f>
        <v>0.75</v>
      </c>
      <c r="D23" s="1"/>
      <c r="E23" s="112" t="str">
        <f>VLOOKUP("Subvención Pública (Si / Non)",tabIdiomas[],MATCH($D$2,tabIdiomas[#Headers]),FALSE)</f>
        <v>Subvención Pública (Si / Non)</v>
      </c>
      <c r="F23" s="255" t="str">
        <f>INDEX(tabRespPreg151013[Respuestas Pregunta],MATCH('General Hipotheses (INTRO)'!F23,tabRespPreg151013[Opciones mostradas],0),1)</f>
        <v>Si</v>
      </c>
      <c r="H23" s="123" t="str">
        <f>VLOOKUP("Fórmula Desindexación",tabIdiomas[],MATCH($D$2,tabIdiomas[#Headers]),FALSE)</f>
        <v>Fórmula Desindexación</v>
      </c>
      <c r="I23" s="228" t="str">
        <f>VLOOKUP("% Anual",tabIdiomas[],MATCH($D$2,tabIdiomas[#Headers]),FALSE)</f>
        <v>% Anual</v>
      </c>
    </row>
    <row r="24" spans="1:9" ht="26.5" thickBot="1" x14ac:dyDescent="0.4">
      <c r="B24" s="114" t="str">
        <f>VLOOKUP("Compensación ou Venda da Enerxía",tabIdiomas[],MATCH($D$2,tabIdiomas[#Headers]),FALSE)</f>
        <v>Compensación ou Venda da Enerxía</v>
      </c>
      <c r="C24" s="272" t="str">
        <f>INDEX(tabRespPreg1510131415[Respuestas Pregunta],MATCH('General Hipotheses (INTRO)'!C24,tabRespPreg1510131415[Opciones mostradas],0),1)</f>
        <v>Compensación</v>
      </c>
      <c r="D24" s="1"/>
      <c r="E24" s="119" t="str">
        <f>VLOOKUP("Ratio de Subvención (Subv. -%- s/  -Invest. Inicial en Instalac.)",tabIdiomas[],MATCH($D$2,tabIdiomas[#Headers]),FALSE)</f>
        <v>Ratio de Subvención (Subv. -%- s/  -Invest. Inicial en Instalac.)</v>
      </c>
      <c r="F24" s="276">
        <f>'General Hipotheses (INTRO)'!F24</f>
        <v>0.6</v>
      </c>
      <c r="H24" s="90" t="str">
        <f>VLOOKUP("Taxa para a Actualización Salarios Sector (= IPC)",tabIdiomas[],MATCH($D$2,tabIdiomas[#Headers]),FALSE)</f>
        <v>Taxa para a Actualización Salarios Sector (= IPC)</v>
      </c>
      <c r="I24" s="280">
        <f>'General Hipotheses (INTRO)'!I24</f>
        <v>3.1E-2</v>
      </c>
    </row>
    <row r="25" spans="1:9" ht="15.5" thickTop="1" thickBot="1" x14ac:dyDescent="0.4">
      <c r="B25" s="110" t="str">
        <f>VLOOKUP("Porcentaxe Esóxena de Aforro sobre Consumo Total (%)",tabIdiomas[],MATCH($D$2,tabIdiomas[#Headers]),FALSE)</f>
        <v>Porcentaxe Esóxena de Aforro sobre Consumo Total (%)</v>
      </c>
      <c r="C25" s="268">
        <f>'General Hipotheses (INTRO)'!C25</f>
        <v>1</v>
      </c>
      <c r="D25" s="1"/>
      <c r="H25" s="90" t="str">
        <f>VLOOKUP("Taxa para a Actualización do Custo da Enerxía",tabIdiomas[],MATCH($D$2,tabIdiomas[#Headers]),FALSE)</f>
        <v>Taxa para a Actualización do Custo da Enerxía</v>
      </c>
      <c r="I25" s="280">
        <f>'General Hipotheses (INTRO)'!I25</f>
        <v>1.6E-2</v>
      </c>
    </row>
    <row r="26" spans="1:9" ht="26.5" thickTop="1" x14ac:dyDescent="0.35">
      <c r="B26" s="112" t="str">
        <f>VLOOKUP("Batería Virtual (Si / Non)",tabIdiomas[],MATCH($D$2,tabIdiomas[#Headers]),FALSE)</f>
        <v>Batería Virtual (Si / Non)</v>
      </c>
      <c r="C26" s="255" t="str">
        <f>INDEX(tabRespPreg1510131416[Respuestas Pregunta],MATCH('General Hipotheses (INTRO)'!C26,tabRespPreg1510131416[Opciones mostradas],0),1)</f>
        <v>Si</v>
      </c>
      <c r="D26" s="1"/>
      <c r="E26" s="123" t="str">
        <f>VLOOKUP("Composición da Base de Socios",tabIdiomas[],MATCH($D$2,tabIdiomas[#Headers]),FALSE)</f>
        <v>Composición da Base de Socios</v>
      </c>
      <c r="F26" s="233" t="str">
        <f>VLOOKUP("% S/Total de Socios",tabIdiomas[],MATCH($D$2,tabIdiomas[#Headers]),FALSE)</f>
        <v>% S/Total de Socios</v>
      </c>
      <c r="H26" s="229" t="str">
        <f>VLOOKUP("Taxa para a Actualización dos Gastos de Explotación Xerais",tabIdiomas[],MATCH($D$2,tabIdiomas[#Headers]),FALSE)</f>
        <v>Taxa para a Actualización dos Gastos de Explotación Xerais</v>
      </c>
      <c r="I26" s="280">
        <f>'General Hipotheses (INTRO)'!I26</f>
        <v>3.2000000000000001E-2</v>
      </c>
    </row>
    <row r="27" spans="1:9" ht="39.5" thickBot="1" x14ac:dyDescent="0.4">
      <c r="B27" s="114" t="str">
        <f>VLOOKUP("Proporción da Enerxía Compensada que se Retribuiría Económicamente pola Comercializadora de NON existir Batería Virtual",tabIdiomas[],MATCH($D$2,tabIdiomas[#Headers]),FALSE)</f>
        <v>Proporción da Enerxía Compensada que se Retribuiría Económicamente pola Comercializadora de NON existir Batería Virtual</v>
      </c>
      <c r="C27" s="273">
        <f>'General Hipotheses (INTRO)'!C27</f>
        <v>0.75</v>
      </c>
      <c r="D27" s="1"/>
      <c r="E27" s="119" t="str">
        <f>VLOOKUP("Proporción de Socios Segmento Residencial",tabIdiomas[],MATCH($D$2,tabIdiomas[#Headers]),FALSE)</f>
        <v>Proporción de Socios Segmento Residencial</v>
      </c>
      <c r="F27" s="277">
        <f>'General Hipotheses (INTRO)'!F27</f>
        <v>0.6</v>
      </c>
      <c r="H27" s="230" t="str">
        <f>VLOOKUP("Taxa para a Actualización de 'Outros Gastos de Explotación'",tabIdiomas[],MATCH($D$2,tabIdiomas[#Headers]),FALSE)</f>
        <v>Taxa para a Actualización de 'Outros Gastos de Explotación'</v>
      </c>
      <c r="I27" s="280">
        <f>'General Hipotheses (INTRO)'!I27</f>
        <v>3.2000000000000001E-2</v>
      </c>
    </row>
    <row r="28" spans="1:9" ht="27" thickTop="1" thickBot="1" x14ac:dyDescent="0.4">
      <c r="B28" s="116" t="str">
        <f>VLOOKUP("Proporción Autoconsumo s/ Enerxía Xerada (Mix Resid-Empr. Equilibrado)",tabIdiomas[],MATCH($D$2,tabIdiomas[#Headers]),FALSE)</f>
        <v>Proporción Autoconsumo s/ Enerxía Xerada (Mix Resid-Empr. Equilibrado)</v>
      </c>
      <c r="C28" s="274">
        <f>'General Hipotheses (INTRO)'!C28</f>
        <v>0.5</v>
      </c>
      <c r="D28" s="1"/>
      <c r="H28" s="98" t="str">
        <f>VLOOKUP("Taxa de Variación do importe máximo das tarifas",tabIdiomas[],MATCH($D$2,tabIdiomas[#Headers]),FALSE)</f>
        <v>Taxa de Variación do importe máximo das tarifas</v>
      </c>
      <c r="I28" s="281">
        <f>'General Hipotheses (INTRO)'!I28</f>
        <v>3.1E-2</v>
      </c>
    </row>
    <row r="29" spans="1:9" ht="27" thickTop="1" thickBot="1" x14ac:dyDescent="0.4">
      <c r="B29" s="118" t="str">
        <f>VLOOKUP("Proporción Autoconsumo s/ Enerxía Xerada (Mix Resid-Empr. Parcialmente Equilibrado)",tabIdiomas[],MATCH($D$2,tabIdiomas[#Headers]),FALSE)</f>
        <v>Proporción Autoconsumo s/ Enerxía Xerada (Mix Resid-Empr. Parcialmente Equilibrado)</v>
      </c>
      <c r="C29" s="271">
        <f>'General Hipotheses (INTRO)'!C29</f>
        <v>0.4</v>
      </c>
      <c r="D29" s="1"/>
      <c r="E29" s="123" t="str">
        <f>VLOOKUP("Cotas de Socios e Outros Ingresos Mensuais",tabIdiomas[],MATCH($D$2,tabIdiomas[#Headers]),FALSE)</f>
        <v>Cotas de Socios e Outros Ingresos Mensuais</v>
      </c>
      <c r="F29" s="66"/>
    </row>
    <row r="30" spans="1:9" ht="27" thickTop="1" thickBot="1" x14ac:dyDescent="0.4">
      <c r="B30" s="119" t="str">
        <f>VLOOKUP("Proporción Autoconsumo s/ Enerxía Xerada (Mix Resid-Empr. Desequilibrado)",tabIdiomas[],MATCH($D$2,tabIdiomas[#Headers]),FALSE)</f>
        <v>Proporción Autoconsumo s/ Enerxía Xerada (Mix Resid-Empr. Desequilibrado)</v>
      </c>
      <c r="C30" s="275">
        <f>'General Hipotheses (INTRO)'!C30</f>
        <v>0.3</v>
      </c>
      <c r="D30" s="1"/>
      <c r="E30" s="112" t="str">
        <f>VLOOKUP("Cota Extraord. Primeiro Ano (€/Mes)",tabIdiomas[],MATCH($D$2,tabIdiomas[#Headers]),FALSE)</f>
        <v>Cota Extraord. Primeiro Ano (€/Mes)</v>
      </c>
      <c r="F30" s="266">
        <f>'General Hipotheses (INTRO)'!F30</f>
        <v>0</v>
      </c>
      <c r="H30" s="208" t="str">
        <f>VLOOKUP("Outras Eventuais Percepcións dos Socios, procedentes da CE, Distintas da Enerxía Producida",tabIdiomas[],MATCH($D$2,tabIdiomas[#Headers]),FALSE)</f>
        <v>Outras Eventuais Percepcións dos Socios, procedentes da CE, Distintas da Enerxía Producida</v>
      </c>
      <c r="I30" s="209" t="str">
        <f>VLOOKUP("Valor Anual Conxunto de Socios (€)",tabIdiomas[],MATCH($D$2,tabIdiomas[#Headers]),FALSE)</f>
        <v>Valor Anual Conxunto de Socios (€)</v>
      </c>
    </row>
    <row r="31" spans="1:9" ht="27" thickTop="1" thickBot="1" x14ac:dyDescent="0.4">
      <c r="D31" s="1"/>
      <c r="E31" s="112" t="str">
        <f>VLOOKUP("Outros Ingresos Mensuais (€/Mes)",tabIdiomas[],MATCH($D$2,tabIdiomas[#Headers]),FALSE)</f>
        <v>Outros Ingresos Mensuais (€/Mes)</v>
      </c>
      <c r="F31" s="278">
        <f>'General Hipotheses (INTRO)'!F31</f>
        <v>0</v>
      </c>
      <c r="H31" s="118" t="str">
        <f>VLOOKUP("Ingresos por Prestación Gratuíta de Outros Servizos pola Entidade Xestora da Iniciativa Comunitaria",tabIdiomas[],MATCH($D$2,tabIdiomas[#Headers]),FALSE)</f>
        <v>Ingresos por Prestación Gratuíta de Outros Servizos pola Entidade Xestora da Iniciativa Comunitaria</v>
      </c>
      <c r="I31" s="266">
        <f>'General Hipotheses (INTRO)'!I31</f>
        <v>0</v>
      </c>
    </row>
    <row r="32" spans="1:9" ht="27" thickTop="1" thickBot="1" x14ac:dyDescent="0.4">
      <c r="B32" s="218" t="str">
        <f>VLOOKUP("Axuste de Exclusiva Aplicación para o Cálculo do Estado de Fluxos de Efectivo (EFE)",tabIdiomas[],MATCH($D$2,tabIdiomas[#Headers]),FALSE)</f>
        <v>Axuste de Exclusiva Aplicación para o Cálculo do Estado de Fluxos de Efectivo (EFE)</v>
      </c>
      <c r="D32" s="1"/>
      <c r="E32" s="125" t="str">
        <f>VLOOKUP("Impacto Fiscal Trasladado a Cotas de Socios (Si/Non)",tabIdiomas[],MATCH($D$2,tabIdiomas[#Headers]),FALSE)</f>
        <v>Impacto Fiscal Trasladado a Cotas de Socios (Si/Non)</v>
      </c>
      <c r="F32" s="279" t="str">
        <f>INDEX(tabRespPreg15101314[Respuestas Pregunta],MATCH('General Hipotheses (INTRO)'!F32,tabRespPreg15101314[Opciones mostradas],0),1)</f>
        <v>Non</v>
      </c>
      <c r="H32" s="119" t="str">
        <f>VLOOKUP("Outros Ingresos Percibidos da Entidade Xestora da Iniciativa Comunitaria",tabIdiomas[],MATCH($D$2,tabIdiomas[#Headers]),FALSE)</f>
        <v>Outros Ingresos Percibidos da Entidade Xestora da Iniciativa Comunitaria</v>
      </c>
      <c r="I32" s="267">
        <f>'General Hipotheses (INTRO)'!I32</f>
        <v>0</v>
      </c>
    </row>
    <row r="33" spans="2:10" s="4" customFormat="1" ht="29.5" thickTop="1" x14ac:dyDescent="0.35">
      <c r="B33" s="219" t="str">
        <f>VLOOKUP("Inclusión do Valor da Enerxía Producida como Ingreso que Xera Fluxo de Efectivo (Si/Non)",tabIdiomas[],MATCH($D$2,tabIdiomas[#Headers]),FALSE)</f>
        <v>Inclusión do Valor da Enerxía Producida como Ingreso que Xera Fluxo de Efectivo (Si/Non)</v>
      </c>
      <c r="D33" s="5"/>
    </row>
    <row r="34" spans="2:10" s="4" customFormat="1" ht="15" thickBot="1" x14ac:dyDescent="0.4">
      <c r="B34" s="282" t="str">
        <f>INDEX(tabRespPreg151013141611[Respuestas Pregunta],MATCH('General Hipotheses (INTRO)'!B34,tabRespPreg151013141611[Opciones mostradas],0),1)</f>
        <v>Si</v>
      </c>
      <c r="D34" s="5"/>
      <c r="H34" s="19"/>
      <c r="I34" s="31"/>
      <c r="J34" s="35"/>
    </row>
    <row r="35" spans="2:10" ht="15" thickTop="1" x14ac:dyDescent="0.35">
      <c r="D35" s="1"/>
      <c r="H35" s="19"/>
      <c r="I35" s="36"/>
    </row>
    <row r="36" spans="2:10" ht="26" x14ac:dyDescent="0.35">
      <c r="B36" s="223" t="str">
        <f>VLOOKUP("Determinación da Enerxía Xerada (KWh) por KWp Ao Ano",tabIdiomas[],MATCH($D$2,tabIdiomas[#Headers]),FALSE)</f>
        <v>Determinación da Enerxía Xerada (KWh) por KWp Ao Ano</v>
      </c>
      <c r="D36" s="1"/>
      <c r="E36" s="223" t="str">
        <f>VLOOKUP("Determinación do Consumo Mensual (KWh) do Socio Promedio Tipo",tabIdiomas[],MATCH($D$2,tabIdiomas[#Headers]),FALSE)</f>
        <v>Determinación do Consumo Mensual (KWh) do Socio Promedio Tipo</v>
      </c>
      <c r="H36" s="19"/>
      <c r="I36" s="37"/>
      <c r="J36" s="38"/>
    </row>
    <row r="37" spans="2:10" s="4" customFormat="1" ht="15" thickBot="1" x14ac:dyDescent="0.4">
      <c r="B37" s="282" t="str">
        <f>INDEX(tabRespPreg151013141620[Respuestas Pregunta],MATCH('General Hipotheses (INTRO)'!B37,tabRespPreg151013141620[Opciones mostradas],0),1)</f>
        <v>Manual</v>
      </c>
      <c r="D37" s="5"/>
      <c r="E37" s="282" t="str">
        <f>INDEX(tabRespPreg151013141620[Respuestas Pregunta],MATCH('General Hipotheses (INTRO)'!E37,tabRespPreg151013141620[Opciones mostradas],0),1)</f>
        <v>Manual</v>
      </c>
      <c r="H37" s="19"/>
      <c r="I37" s="39"/>
    </row>
    <row r="38" spans="2:10" s="4" customFormat="1" ht="15.5" thickTop="1" thickBot="1" x14ac:dyDescent="0.4">
      <c r="B38"/>
      <c r="D38" s="5"/>
      <c r="E38"/>
    </row>
    <row r="39" spans="2:10" ht="27" thickTop="1" thickBot="1" x14ac:dyDescent="0.4">
      <c r="B39" s="224" t="str">
        <f>VLOOKUP("Enerxía Xerada (KWh) por KWp de Potencia Instalada ao Ano (Determinación Manual)",tabIdiomas[],MATCH($D$2,tabIdiomas[#Headers]),FALSE)</f>
        <v>Enerxía Xerada (KWh) por KWp de Potencia Instalada ao Ano (Determinación Manual)</v>
      </c>
      <c r="D39" s="1"/>
      <c r="E39" s="224" t="str">
        <f>VLOOKUP("Consumo Eléctrico Mensual (KWh) do Socio Promedio Tipo (Determinación Manual)",tabIdiomas[],MATCH($D$2,tabIdiomas[#Headers]),FALSE)</f>
        <v>Consumo Eléctrico Mensual (KWh) do Socio Promedio Tipo (Determinación Manual)</v>
      </c>
      <c r="G39" s="4"/>
    </row>
    <row r="40" spans="2:10" ht="15.5" thickTop="1" thickBot="1" x14ac:dyDescent="0.4">
      <c r="B40" s="283">
        <f>'General Hipotheses (INTRO)'!B40</f>
        <v>1276</v>
      </c>
      <c r="D40" s="1"/>
      <c r="E40" s="283">
        <f>'General Hipotheses (INTRO)'!E40</f>
        <v>294.41000000000003</v>
      </c>
      <c r="G40" s="4"/>
    </row>
    <row r="41" spans="2:10" ht="15" thickTop="1" x14ac:dyDescent="0.35">
      <c r="D41" s="1"/>
      <c r="F41" s="16"/>
      <c r="G41" s="4"/>
      <c r="H41" s="41"/>
      <c r="I41" s="42"/>
    </row>
    <row r="42" spans="2:10" ht="15" thickBot="1" x14ac:dyDescent="0.4">
      <c r="B42" s="1"/>
      <c r="C42" s="43"/>
      <c r="D42" s="1"/>
      <c r="H42" s="19"/>
      <c r="I42" s="40"/>
    </row>
    <row r="43" spans="2:10" ht="40" thickTop="1" thickBot="1" x14ac:dyDescent="0.4">
      <c r="B43" s="224" t="str">
        <f>VLOOKUP("Comprobacións Introdución Manual de Ratio de Produción e de Consumo do Socio Tipo cando a instalación NON se atopa en Galicia",tabIdiomas[],MATCH($D$2,tabIdiomas[#Headers]),FALSE)</f>
        <v>Comprobacións Introdución Manual de Ratio de Produción e de Consumo do Socio Tipo cando a instalación NON se atopa en Galicia</v>
      </c>
      <c r="C43" s="226" t="str">
        <f>VLOOKUP("Prégase, NON CUBRIR:",tabIdiomas[],MATCH($D$2,tabIdiomas[#Headers]),FALSE)</f>
        <v>Prégase, NON CUBRIR:</v>
      </c>
      <c r="D43" s="1"/>
      <c r="E43" s="1"/>
      <c r="F43" s="17"/>
      <c r="H43" s="15"/>
      <c r="I43" s="23"/>
    </row>
    <row r="44" spans="2:10" ht="15" thickTop="1" x14ac:dyDescent="0.35">
      <c r="B44" s="116" t="str">
        <f>VLOOKUP("Introdución Manual Enerxía Xerada por KWp Instalado",tabIdiomas[],MATCH($D$2,tabIdiomas[#Headers]),FALSE)</f>
        <v>Introdución Manual Enerxía Xerada por KWp Instalado</v>
      </c>
      <c r="C44" s="227" t="str" cm="1">
        <f t="array" ref="C44">_xlfn.IFS($D$2="Cadena", IF($C$6="Galicia", "Verificación Non Aplicable",_xlfn.IFS($C$6="Resto de España", (IF(B37="Automática (Só Galicia)", "Verificación Errónea", "Verificación Correcta")),$C$6="Estranxeiro",(IF($B$37="Automática (Só Galicia)","Verificación Errónea","Verificación Correcta")))),$D$2="Galego", IF($C$6="Galicia", "Verificación Non Aplicable",_xlfn.IFS($C$6="Resto de España", (IF(B37="Automática (Só Galicia)", "Verificación Errónea", "Verificación Correcta")),$C$6="Estranxeiro",(IF($B$37="Automática (Só Galicia)","Verificación Errónea","Verificación Correcta")))),$D$2="Español", IF($C$6="Galicia",  "Verificación No Aplicable",_xlfn.IFS($C$6="Resto de España", (IF(B37="Automática (Sólo Galicia)", "Verificación Errónea", "Verificación Correcta")),$C$6="Extranjero",(IF($B$37="Automática (Sólo Galicia)","Verificación Errónea","Verificación Correcta")))),$D$2="English", IF($C$6="Galicia", "Not Applicable Check", _xlfn.IFS($C$6="Rest of Spain", (IF(B37="Automatic (Only for Galicia)", "Wrong Check", "Right Check")),$C$6="Other Countries",(IF($B$37="Automatic (Only for Galicia)", "Wrong Check","Right Check")))),$D$2="Eestlane", IF($C$6="Galicia", "Pole Kohaldatav Kontrollige", _xlfn.IFS($C$6="Ülejäänud Hispaania", (IF(B37="Automaatne (Ainult Galicia Jaoks)", "Vale Kontroll", "Õige Kontroll")),$C$6="Teised Riigid",(IF($B$37="Automaatne (Ainult Galicia Jaoks)", "Vale Kontroll", "Õige Kontroll")))))</f>
        <v>Verificación Correcta</v>
      </c>
      <c r="D44" s="1"/>
      <c r="E44" s="1"/>
      <c r="F44" s="17"/>
      <c r="H44" s="30"/>
      <c r="I44" s="31"/>
    </row>
    <row r="45" spans="2:10" ht="15" thickBot="1" x14ac:dyDescent="0.4">
      <c r="B45" s="237" t="str">
        <f>VLOOKUP("Introdución Manual do Consumo Mensual do Socio Tipo",tabIdiomas[],MATCH($D$2,tabIdiomas[#Headers]),FALSE)</f>
        <v>Introdución Manual do Consumo Mensual do Socio Tipo</v>
      </c>
      <c r="C45" s="238" t="str" cm="1">
        <f t="array" ref="C45">_xlfn.IFS($D$2="Cadena", IF($C$6="Galicia", "Verificación Non Aplicable",_xlfn.IFS($C$6="Resto de España", (IF($E$37="Automática (Só Galicia)", "Verificación Errónea", "Verificación Correcta")),$C$6="Estranxeiro",(IF($E$37="Automática (Só Galicia)","Verificación Errónea","Verificación Correcta")))), $D$2="Galego", IF($C$6="Galicia", "Verificación Non Aplicable",_xlfn.IFS($C$6="Resto de España", (IF($E$37="Automática (Só Galicia)", "Verificación Errónea", "Verificación Correcta")),$C$6="Estranxeiro",(IF($E$37="Automática (Só Galicia)","Verificación Errónea","Verificación Correcta")))),$D$2="Español", IF($C$6="Galicia",  "Verificación No Aplicable",_xlfn.IFS($C$6="Resto de España", (IF($E$37="Automática (Sólo Galicia)", "Verificación Errónea", "Verificación Correcta")),$C$6="Extranjero",(IF($E$37="Automática (Sólo Galicia)","Verificación Errónea","Verificación Correcta")))),$D$2="English", IF($C$6="Galicia", "Not Applicable Check", _xlfn.IFS($C$6="Rest of Spain", (IF($E$37="Automatic (Only for Galicia)", "Wrong Check", "Right Check")),$C$6="Other Countries",(IF($E$37="Automatic (Only for Galicia)", "Wrong Check","Right Check")))),$D$2="Eestlane", IF($C$6="Galicia", "Pole Kohaldatav Kontrollige", _xlfn.IFS($C$6="Ülejäänud Hispaania", (IF($E$37="Automaatne (Ainult Galicia Jaoks)", "Vale Kontroll", "Õige Kontroll")),$C$6="Teised Riigid",(IF($E$37="Automaatne (Ainult Galicia Jaoks)", "Vale Kontroll", "Õige Kontroll")))))</f>
        <v>Verificación Correcta</v>
      </c>
      <c r="D45" s="1"/>
      <c r="E45" s="1"/>
      <c r="F45" s="1"/>
      <c r="H45" s="32"/>
      <c r="I45" s="33"/>
    </row>
    <row r="46" spans="2:10" ht="15" thickTop="1" x14ac:dyDescent="0.35">
      <c r="H46" s="32"/>
      <c r="I46" s="31"/>
    </row>
    <row r="47" spans="2:10" x14ac:dyDescent="0.35">
      <c r="H47" s="13"/>
      <c r="I47" s="34"/>
    </row>
    <row r="51" spans="2:10" ht="23.75" customHeight="1" x14ac:dyDescent="0.35">
      <c r="J51" s="6"/>
    </row>
    <row r="52" spans="2:10" x14ac:dyDescent="0.35">
      <c r="D52" s="1"/>
      <c r="E52" s="1"/>
      <c r="F52" s="1"/>
    </row>
    <row r="53" spans="2:10" x14ac:dyDescent="0.35">
      <c r="D53" s="1"/>
      <c r="E53" s="1"/>
      <c r="F53" s="1"/>
    </row>
    <row r="54" spans="2:10" x14ac:dyDescent="0.35">
      <c r="D54" s="1"/>
    </row>
    <row r="55" spans="2:10" x14ac:dyDescent="0.35">
      <c r="D55" s="1"/>
      <c r="F55" s="1"/>
    </row>
    <row r="56" spans="2:10" x14ac:dyDescent="0.35">
      <c r="B56" s="1"/>
      <c r="C56" s="18"/>
      <c r="D56" s="1"/>
      <c r="E56" s="1"/>
      <c r="F56" s="1"/>
    </row>
    <row r="57" spans="2:10" x14ac:dyDescent="0.35">
      <c r="B57" s="19"/>
      <c r="C57" s="20"/>
      <c r="D57" s="1"/>
      <c r="H57" s="13"/>
    </row>
    <row r="58" spans="2:10" x14ac:dyDescent="0.35">
      <c r="B58" s="19"/>
      <c r="C58" s="21"/>
      <c r="D58" s="1"/>
      <c r="H58" s="46"/>
    </row>
    <row r="59" spans="2:10" x14ac:dyDescent="0.35">
      <c r="B59" s="19"/>
      <c r="C59" s="22"/>
      <c r="D59" s="1"/>
    </row>
    <row r="60" spans="2:10" x14ac:dyDescent="0.35">
      <c r="D60" s="1"/>
      <c r="E60" s="104"/>
      <c r="F60" s="105"/>
      <c r="H60" s="47"/>
    </row>
    <row r="61" spans="2:10" x14ac:dyDescent="0.35">
      <c r="C61" s="1"/>
      <c r="D61" s="1"/>
      <c r="H61" s="48"/>
    </row>
    <row r="62" spans="2:10" x14ac:dyDescent="0.35">
      <c r="D62" s="1"/>
    </row>
    <row r="63" spans="2:10" x14ac:dyDescent="0.35">
      <c r="B63" s="15"/>
      <c r="C63" s="23"/>
    </row>
    <row r="65" spans="4:7" x14ac:dyDescent="0.35">
      <c r="D65" s="1"/>
    </row>
    <row r="66" spans="4:7" x14ac:dyDescent="0.35">
      <c r="D66" s="7"/>
    </row>
    <row r="67" spans="4:7" x14ac:dyDescent="0.35">
      <c r="D67" s="7"/>
    </row>
    <row r="68" spans="4:7" x14ac:dyDescent="0.35">
      <c r="D68" s="7"/>
    </row>
    <row r="69" spans="4:7" x14ac:dyDescent="0.35">
      <c r="D69" s="1"/>
    </row>
    <row r="71" spans="4:7" x14ac:dyDescent="0.35">
      <c r="E71" s="15"/>
      <c r="F71" s="23"/>
      <c r="G71" s="15"/>
    </row>
    <row r="73" spans="4:7" x14ac:dyDescent="0.35">
      <c r="F73" s="24"/>
    </row>
    <row r="74" spans="4:7" x14ac:dyDescent="0.35">
      <c r="E74" s="13"/>
      <c r="F74" s="25"/>
    </row>
    <row r="76" spans="4:7" x14ac:dyDescent="0.35">
      <c r="E76" s="26"/>
      <c r="F76" s="27"/>
    </row>
    <row r="77" spans="4:7" x14ac:dyDescent="0.35">
      <c r="F77" s="28"/>
    </row>
    <row r="78" spans="4:7" x14ac:dyDescent="0.35">
      <c r="F78" s="28"/>
    </row>
    <row r="79" spans="4:7" x14ac:dyDescent="0.35">
      <c r="F79" s="28"/>
    </row>
    <row r="80" spans="4:7" x14ac:dyDescent="0.35">
      <c r="E80" s="10"/>
      <c r="F80" s="29"/>
    </row>
  </sheetData>
  <protectedRanges>
    <protectedRange sqref="C6:C8 B37 E37 B40 E40" name="Hipóteses Xerais 2"/>
    <protectedRange sqref="I19:I20 I11:I16 F23:F24 F27 I24:I28 F30:F32 I31:I32 B34 C11:C16 F5:F8 I5:I6 F11:F20 C20:C30" name="Hipóteses Xerais"/>
  </protectedRanges>
  <phoneticPr fontId="36" type="noConversion"/>
  <conditionalFormatting sqref="C44:C45">
    <cfRule type="cellIs" dxfId="9" priority="1" operator="equal">
      <formula>"Verificación Correcta"</formula>
    </cfRule>
    <cfRule type="cellIs" dxfId="8" priority="2" operator="equal">
      <formula>"Verificación Errónea"</formula>
    </cfRule>
    <cfRule type="cellIs" dxfId="7" priority="3" operator="equal">
      <formula>"Verificación Non Aplicable"</formula>
    </cfRule>
  </conditionalFormatting>
  <printOptions horizontalCentered="1" verticalCentered="1"/>
  <pageMargins left="0.23622047244094491" right="0.23622047244094491" top="0.15748031496062992" bottom="0.15748031496062992" header="0.31496062992125984" footer="0.31496062992125984"/>
  <pageSetup paperSize="9" fitToHeight="0" orientation="landscape" horizontalDpi="1200" verticalDpi="1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E6693-C6BE-4242-B753-1F29374B9EED}">
  <sheetPr>
    <tabColor theme="5" tint="0.79998168889431442"/>
    <pageSetUpPr fitToPage="1"/>
  </sheetPr>
  <dimension ref="A2:I93"/>
  <sheetViews>
    <sheetView topLeftCell="A51" zoomScaleNormal="100" workbookViewId="0">
      <selection activeCell="B72" sqref="B72"/>
    </sheetView>
  </sheetViews>
  <sheetFormatPr baseColWidth="10" defaultColWidth="11.54296875" defaultRowHeight="14.5" x14ac:dyDescent="0.35"/>
  <cols>
    <col min="1" max="1" width="11.54296875" style="10"/>
    <col min="2" max="2" width="57.1796875" style="10" bestFit="1" customWidth="1"/>
    <col min="3" max="3" width="26.81640625" style="10" bestFit="1" customWidth="1"/>
    <col min="4" max="4" width="22.36328125" style="10" customWidth="1"/>
    <col min="5" max="5" width="25.08984375" style="10" customWidth="1"/>
    <col min="6" max="6" width="39" style="10" customWidth="1"/>
    <col min="7" max="7" width="12.1796875" style="10" bestFit="1" customWidth="1"/>
    <col min="8" max="8" width="17.453125" style="10" customWidth="1"/>
    <col min="9" max="9" width="21.81640625" style="10" customWidth="1"/>
    <col min="10" max="16384" width="11.54296875" style="10"/>
  </cols>
  <sheetData>
    <row r="2" spans="2:7" ht="15" thickBot="1" x14ac:dyDescent="0.4"/>
    <row r="3" spans="2:7" ht="15.5" thickTop="1" thickBot="1" x14ac:dyDescent="0.4">
      <c r="B3" s="332" t="str">
        <f>VLOOKUP("GASTOS: Compras de Materiais e Servizos",tabIdiomas[],MATCH('General Hipotheses (INTRO)'!$D$2,tabIdiomas[#Headers]),FALSE)</f>
        <v>EXPENSES: Materials and Services Purchases</v>
      </c>
      <c r="C3" s="335" t="str">
        <f>VLOOKUP("Unidades",tabIdiomas[],MATCH('General Hipotheses (INTRO)'!$D$2,tabIdiomas[#Headers]),FALSE)</f>
        <v>Units</v>
      </c>
      <c r="D3" s="233" t="str">
        <f>VLOOKUP("Valor Unitario",tabIdiomas[],MATCH('General Hipotheses (INTRO)'!$D$2,tabIdiomas[#Headers]),FALSE)</f>
        <v>Unit Value (€)</v>
      </c>
    </row>
    <row r="4" spans="2:7" ht="15.5" thickTop="1" thickBot="1" x14ac:dyDescent="0.4">
      <c r="B4" s="333" t="str">
        <f>VLOOKUP("Compras de Outros Aprovisionamentos",tabIdiomas[],MATCH('General Hipotheses (INTRO)'!$D$2,tabIdiomas[#Headers]),FALSE)</f>
        <v>Other Supplies Purchases</v>
      </c>
      <c r="C4" s="52"/>
      <c r="D4" s="89"/>
      <c r="F4" s="218" t="str">
        <f>VLOOKUP("Compras de Materiais e Servizos (Si/Non)",tabIdiomas[],MATCH('General Hipotheses (INTRO)'!$D$2,tabIdiomas[#Headers]),FALSE)</f>
        <v xml:space="preserve">Materials and Services Purchases (Yes/No) </v>
      </c>
      <c r="G4" s="15"/>
    </row>
    <row r="5" spans="2:7" ht="15" thickBot="1" x14ac:dyDescent="0.4">
      <c r="B5" s="230" t="str">
        <f>VLOOKUP("Compras de Elementos e Conxuntos Incorporables",tabIdiomas[],MATCH('General Hipotheses (INTRO)'!$D$2,tabIdiomas[#Headers]),FALSE)</f>
        <v>Purchases of Incorporable Elements and Sets</v>
      </c>
      <c r="C5" s="50">
        <v>0</v>
      </c>
      <c r="D5" s="91"/>
      <c r="F5" s="103" t="s">
        <v>5</v>
      </c>
    </row>
    <row r="6" spans="2:7" ht="15" thickTop="1" x14ac:dyDescent="0.35">
      <c r="B6" s="230" t="str">
        <f>VLOOKUP("Compras de Combustibles",tabIdiomas[],MATCH('General Hipotheses (INTRO)'!$D$2,tabIdiomas[#Headers]),FALSE)</f>
        <v>Energy Supplies (Fuels) Purchases</v>
      </c>
      <c r="C6" s="50">
        <v>0</v>
      </c>
      <c r="D6" s="91"/>
      <c r="E6" s="64"/>
    </row>
    <row r="7" spans="2:7" x14ac:dyDescent="0.35">
      <c r="B7" s="230" t="str">
        <f>VLOOKUP("Compras de Repostos",tabIdiomas[],MATCH('General Hipotheses (INTRO)'!$D$2,tabIdiomas[#Headers]),FALSE)</f>
        <v>Replacement Materials Purchases</v>
      </c>
      <c r="C7" s="53">
        <v>1</v>
      </c>
      <c r="D7" s="91">
        <v>150</v>
      </c>
      <c r="E7" s="56"/>
    </row>
    <row r="8" spans="2:7" x14ac:dyDescent="0.35">
      <c r="B8" s="230" t="str">
        <f>VLOOKUP("Compras de Materiais Diversos",tabIdiomas[],MATCH('General Hipotheses (INTRO)'!$D$2,tabIdiomas[#Headers]),FALSE)</f>
        <v>Various Materials Purchases</v>
      </c>
      <c r="C8" s="50">
        <v>0</v>
      </c>
      <c r="D8" s="91"/>
      <c r="E8" s="994"/>
    </row>
    <row r="9" spans="2:7" x14ac:dyDescent="0.35">
      <c r="B9" s="230" t="str">
        <f>VLOOKUP("Compras de Material de Oficina",tabIdiomas[],MATCH('General Hipotheses (INTRO)'!$D$2,tabIdiomas[#Headers]),FALSE)</f>
        <v>Office Supplies Purchases</v>
      </c>
      <c r="C9" s="50">
        <v>12</v>
      </c>
      <c r="D9" s="91">
        <v>25</v>
      </c>
      <c r="E9" s="994"/>
    </row>
    <row r="10" spans="2:7" ht="15" thickBot="1" x14ac:dyDescent="0.4">
      <c r="B10" s="334" t="str">
        <f>VLOOKUP("Traballos realizados por Outras Empresas",tabIdiomas[],MATCH('General Hipotheses (INTRO)'!$D$2,tabIdiomas[#Headers]),FALSE)</f>
        <v>Works Done by Other Companies</v>
      </c>
      <c r="C10" s="93">
        <v>0</v>
      </c>
      <c r="D10" s="94">
        <v>150</v>
      </c>
      <c r="E10" s="994"/>
    </row>
    <row r="11" spans="2:7" ht="15" thickTop="1" x14ac:dyDescent="0.35">
      <c r="E11" s="994"/>
    </row>
    <row r="12" spans="2:7" x14ac:dyDescent="0.35">
      <c r="E12" s="994"/>
    </row>
    <row r="13" spans="2:7" x14ac:dyDescent="0.35">
      <c r="E13" s="56"/>
    </row>
    <row r="14" spans="2:7" ht="15" thickBot="1" x14ac:dyDescent="0.4"/>
    <row r="15" spans="2:7" ht="15.5" thickTop="1" thickBot="1" x14ac:dyDescent="0.4">
      <c r="B15" s="332" t="str">
        <f>VLOOKUP("GASTOS: Gastos de Persoal",tabIdiomas[],MATCH('General Hipotheses (INTRO)'!$D$2,tabIdiomas[#Headers]),FALSE)</f>
        <v>EXPENSES: Human Resources Expenses</v>
      </c>
      <c r="C15" s="336" t="str">
        <f>VLOOKUP("Unidades",tabIdiomas[],MATCH('General Hipotheses (INTRO)'!$D$2,tabIdiomas[#Headers]),FALSE)</f>
        <v>Units</v>
      </c>
      <c r="D15" s="337" t="str">
        <f>VLOOKUP("Retrib. Bruta Mensual",tabIdiomas[],MATCH('General Hipotheses (INTRO)'!$D$2,tabIdiomas[#Headers]),FALSE)</f>
        <v>Gross Monthly Wage (€)</v>
      </c>
      <c r="E15" s="95"/>
    </row>
    <row r="16" spans="2:7" ht="15.5" thickTop="1" thickBot="1" x14ac:dyDescent="0.4">
      <c r="B16" s="229" t="str">
        <f>VLOOKUP("Número de Empregados a Xornada Completa Equivalentes",tabIdiomas[],MATCH('General Hipotheses (INTRO)'!$D$2,tabIdiomas[#Headers]),FALSE)</f>
        <v>Number of Full-Time Equivalent Employees</v>
      </c>
      <c r="C16" s="1751">
        <v>0.125</v>
      </c>
      <c r="D16" s="1752">
        <v>800</v>
      </c>
      <c r="E16" s="1753"/>
      <c r="F16" s="107" t="str">
        <f>VLOOKUP("Realización das Labores de Xestión",tabIdiomas[],MATCH('General Hipotheses (INTRO)'!$D$2,tabIdiomas[#Headers]),FALSE)</f>
        <v>Management Tasks Performance Alternative</v>
      </c>
    </row>
    <row r="17" spans="1:6" ht="15" thickBot="1" x14ac:dyDescent="0.4">
      <c r="B17" s="230" t="str">
        <f>VLOOKUP("Seguridade Social a cargo da Empresa",tabIdiomas[],MATCH('General Hipotheses (INTRO)'!$D$2,tabIdiomas[#Headers]),FALSE)</f>
        <v>Social Security Costs to be Assumed by the Entity (% over Gross Wages)</v>
      </c>
      <c r="C17" s="1750">
        <v>0.32</v>
      </c>
      <c r="D17" s="1754"/>
      <c r="E17" s="1753"/>
      <c r="F17" s="338" t="s">
        <v>11</v>
      </c>
    </row>
    <row r="18" spans="1:6" ht="15.5" thickTop="1" thickBot="1" x14ac:dyDescent="0.4">
      <c r="B18" s="232" t="str">
        <f>VLOOKUP("Outros gastos sociais",tabIdiomas[],MATCH('General Hipotheses (INTRO)'!$D$2,tabIdiomas[#Headers]),FALSE)</f>
        <v>Other Social Expenses (Other Personnel Costs)</v>
      </c>
      <c r="C18" s="1755">
        <v>0</v>
      </c>
      <c r="D18" s="1756">
        <v>0</v>
      </c>
      <c r="E18" s="1753"/>
    </row>
    <row r="19" spans="1:6" ht="15" thickTop="1" x14ac:dyDescent="0.35"/>
    <row r="23" spans="1:6" ht="15" thickBot="1" x14ac:dyDescent="0.4"/>
    <row r="24" spans="1:6" x14ac:dyDescent="0.35">
      <c r="B24" s="332" t="str">
        <f>VLOOKUP("GASTOS: Gastos en Servizos Exteriores (Excl. Outros Servicios)",tabIdiomas[],MATCH('General Hipotheses (INTRO)'!$D$2,tabIdiomas[#Headers]),FALSE)</f>
        <v>EXPENSES: External Services Expenses (Excl. Other Services)</v>
      </c>
      <c r="C24" s="336" t="str">
        <f>VLOOKUP("Unidades",tabIdiomas[],MATCH('General Hipotheses (INTRO)'!$D$2,tabIdiomas[#Headers]),FALSE)</f>
        <v>Units</v>
      </c>
      <c r="D24" s="337" t="str">
        <f>VLOOKUP("Valor Unitario",tabIdiomas[],MATCH('General Hipotheses (INTRO)'!$D$2,tabIdiomas[#Headers]),FALSE)</f>
        <v>Unit Value (€)</v>
      </c>
      <c r="E24" s="55"/>
    </row>
    <row r="25" spans="1:6" x14ac:dyDescent="0.35">
      <c r="B25" s="1757" t="str">
        <f>VLOOKUP("Arrendamentos e Cánones (Aluguer terreos)",tabIdiomas[],MATCH('General Hipotheses (INTRO)'!$D$2,tabIdiomas[#Headers]),FALSE)</f>
        <v>Rentals (Land and Others)</v>
      </c>
      <c r="C25" s="1758"/>
      <c r="D25" s="1759">
        <v>1.2</v>
      </c>
      <c r="E25" s="1753"/>
    </row>
    <row r="26" spans="1:6" x14ac:dyDescent="0.35">
      <c r="B26" s="70" t="str">
        <f>VLOOKUP("Reparacións e Mantemento das Instalacións",tabIdiomas[],MATCH('General Hipotheses (INTRO)'!$D$2,tabIdiomas[#Headers]),FALSE)</f>
        <v>Facilities Repairing and Maintenance</v>
      </c>
      <c r="C26" s="1760"/>
      <c r="D26" s="1761"/>
      <c r="E26" s="56"/>
    </row>
    <row r="27" spans="1:6" x14ac:dyDescent="0.35">
      <c r="A27" s="1762"/>
      <c r="B27" s="1763" t="str">
        <f>VLOOKUP("Reparación das Instalacións",tabIdiomas[],MATCH('General Hipotheses (INTRO)'!$D$2,tabIdiomas[#Headers]),FALSE)</f>
        <v>Facilities Repairing Costs</v>
      </c>
      <c r="C27" s="1764">
        <v>1</v>
      </c>
      <c r="D27" s="1765">
        <v>100</v>
      </c>
      <c r="E27" s="56"/>
    </row>
    <row r="28" spans="1:6" x14ac:dyDescent="0.35">
      <c r="A28" s="1762"/>
      <c r="B28" s="1763" t="str">
        <f>VLOOKUP("Mantemento das Instalacións",tabIdiomas[],MATCH('General Hipotheses (INTRO)'!$D$2,tabIdiomas[#Headers]),FALSE)</f>
        <v>Facilities Manintenance Costs</v>
      </c>
      <c r="C28" s="1764">
        <v>1</v>
      </c>
      <c r="D28" s="1765">
        <v>500</v>
      </c>
      <c r="E28" s="56"/>
    </row>
    <row r="29" spans="1:6" ht="29" x14ac:dyDescent="0.35">
      <c r="B29" s="70" t="str">
        <f>VLOOKUP("Servicios de Profesionais Indep. (Notarios, Avogados, Rexistradores, Economistas, Asesores, etc.)",tabIdiomas[],MATCH('General Hipotheses (INTRO)'!$D$2,tabIdiomas[#Headers]),FALSE)</f>
        <v>Profesional Services (Notaries, Lawyers, Registry Officers, Economists, Advisors, etc.)</v>
      </c>
      <c r="C29" s="1760"/>
      <c r="D29" s="1761"/>
      <c r="E29" s="56"/>
    </row>
    <row r="30" spans="1:6" x14ac:dyDescent="0.35">
      <c r="B30" s="1763" t="str">
        <f>VLOOKUP("Gastos de Notaría e Rexistro",tabIdiomas[],MATCH('General Hipotheses (INTRO)'!$D$2,tabIdiomas[#Headers]),FALSE)</f>
        <v>Notary and Registry Costs</v>
      </c>
      <c r="C30" s="1764">
        <v>0</v>
      </c>
      <c r="D30" s="1766">
        <v>0</v>
      </c>
      <c r="E30" s="1767"/>
    </row>
    <row r="31" spans="1:6" x14ac:dyDescent="0.35">
      <c r="B31" s="1763" t="str">
        <f>VLOOKUP("Gastos de Asesoría Xurídica",tabIdiomas[],MATCH('General Hipotheses (INTRO)'!$D$2,tabIdiomas[#Headers]),FALSE)</f>
        <v>Legal Advisory Costs</v>
      </c>
      <c r="C31" s="1764">
        <v>0</v>
      </c>
      <c r="D31" s="1766">
        <v>0</v>
      </c>
      <c r="E31" s="1767"/>
    </row>
    <row r="32" spans="1:6" x14ac:dyDescent="0.35">
      <c r="B32" s="1763" t="str">
        <f>VLOOKUP("Gastos de Asesoramento Económico-Financeiro",tabIdiomas[],MATCH('General Hipotheses (INTRO)'!$D$2,tabIdiomas[#Headers]),FALSE)</f>
        <v>Economic and Financial Advisory Costs</v>
      </c>
      <c r="C32" s="1764">
        <v>0</v>
      </c>
      <c r="D32" s="1766">
        <v>0</v>
      </c>
      <c r="E32" s="1767"/>
    </row>
    <row r="33" spans="2:6" x14ac:dyDescent="0.35">
      <c r="B33" s="1763" t="str">
        <f>VLOOKUP("Gastos de Asesoramento Técnico (Enxeñería)",tabIdiomas[],MATCH('General Hipotheses (INTRO)'!$D$2,tabIdiomas[#Headers]),FALSE)</f>
        <v>Technical Advisory (Engineering) Costs</v>
      </c>
      <c r="C33" s="1764">
        <v>0</v>
      </c>
      <c r="D33" s="1766">
        <v>0</v>
      </c>
      <c r="E33" s="1767"/>
    </row>
    <row r="34" spans="2:6" x14ac:dyDescent="0.35">
      <c r="B34" s="70" t="str">
        <f>VLOOKUP("Transportes",tabIdiomas[],MATCH('General Hipotheses (INTRO)'!$D$2,tabIdiomas[#Headers]),FALSE)</f>
        <v>Transportation Expenses</v>
      </c>
      <c r="C34" s="1768">
        <v>0</v>
      </c>
      <c r="D34" s="339">
        <v>0</v>
      </c>
      <c r="E34" s="56"/>
    </row>
    <row r="35" spans="2:6" x14ac:dyDescent="0.35">
      <c r="B35" s="70" t="str">
        <f>VLOOKUP("Primas de Seguros (% do Investimento Inicial, Anual)",tabIdiomas[],MATCH('General Hipotheses (INTRO)'!$D$2,tabIdiomas[#Headers]),FALSE)</f>
        <v>Insurance Premiums (% Over Initial Investment, Annual)</v>
      </c>
      <c r="C35" s="1769">
        <v>0.02</v>
      </c>
      <c r="D35" s="1770"/>
      <c r="E35" s="56"/>
    </row>
    <row r="36" spans="2:6" x14ac:dyDescent="0.35">
      <c r="B36" s="70" t="str">
        <f>VLOOKUP("Servizos Bancarios",tabIdiomas[],MATCH('General Hipotheses (INTRO)'!$D$2,tabIdiomas[#Headers]),FALSE)</f>
        <v>Banking Services</v>
      </c>
      <c r="C36" s="1768">
        <v>4</v>
      </c>
      <c r="D36" s="339">
        <v>60</v>
      </c>
      <c r="E36" s="56"/>
    </row>
    <row r="37" spans="2:6" x14ac:dyDescent="0.35">
      <c r="B37" s="70" t="str">
        <f>VLOOKUP("Publicidade, Propaganda e RR.PP.",tabIdiomas[],MATCH('General Hipotheses (INTRO)'!$D$2,tabIdiomas[#Headers]),FALSE)</f>
        <v>Advertising, Propaganda e Public Relations</v>
      </c>
      <c r="C37" s="1760"/>
      <c r="D37" s="1771"/>
      <c r="E37" s="56"/>
    </row>
    <row r="38" spans="2:6" x14ac:dyDescent="0.35">
      <c r="B38" s="1763" t="str">
        <f>VLOOKUP("Material e Actividades Publicitarias",tabIdiomas[],MATCH('General Hipotheses (INTRO)'!$D$2,tabIdiomas[#Headers]),FALSE)</f>
        <v>Advertising Materials and Activities</v>
      </c>
      <c r="C38" s="340">
        <v>0</v>
      </c>
      <c r="D38" s="1765">
        <v>0</v>
      </c>
      <c r="E38" s="1753"/>
    </row>
    <row r="39" spans="2:6" x14ac:dyDescent="0.35">
      <c r="B39" s="1763" t="str">
        <f>VLOOKUP("Actividades de Promoción",tabIdiomas[],MATCH('General Hipotheses (INTRO)'!$D$2,tabIdiomas[#Headers]),FALSE)</f>
        <v>Promotion Activities</v>
      </c>
      <c r="C39" s="340">
        <v>0</v>
      </c>
      <c r="D39" s="1765">
        <v>0</v>
      </c>
      <c r="E39" s="1753"/>
    </row>
    <row r="40" spans="2:6" ht="15" thickBot="1" x14ac:dyDescent="0.4">
      <c r="B40" s="1763" t="str">
        <f>VLOOKUP("Relacións Públicas",tabIdiomas[],MATCH('General Hipotheses (INTRO)'!$D$2,tabIdiomas[#Headers]),FALSE)</f>
        <v>Public Relations</v>
      </c>
      <c r="C40" s="340">
        <v>0</v>
      </c>
      <c r="D40" s="1765">
        <v>0</v>
      </c>
      <c r="E40" s="1753"/>
    </row>
    <row r="41" spans="2:6" ht="15.5" thickTop="1" thickBot="1" x14ac:dyDescent="0.4">
      <c r="B41" s="70" t="str">
        <f>VLOOKUP("Subministros",tabIdiomas[],MATCH('General Hipotheses (INTRO)'!$D$2,tabIdiomas[#Headers]),FALSE)</f>
        <v>Supplies</v>
      </c>
      <c r="C41" s="1760"/>
      <c r="D41" s="1771"/>
      <c r="E41" s="56"/>
      <c r="F41" s="107" t="str">
        <f>VLOOKUP("Necesidade de Conexión a Internet, Propia (Si/Non)",tabIdiomas[],MATCH('General Hipotheses (INTRO)'!$D$2,tabIdiomas[#Headers]),FALSE)</f>
        <v>Own Internet Connection Required (Yes/No)</v>
      </c>
    </row>
    <row r="42" spans="2:6" ht="15" thickBot="1" x14ac:dyDescent="0.4">
      <c r="B42" s="1763" t="str">
        <f>VLOOKUP("Telefonía Fixa e/ou Móbil",tabIdiomas[],MATCH('General Hipotheses (INTRO)'!$D$2,tabIdiomas[#Headers]),FALSE)</f>
        <v>Landline and/or Mobile Telephony</v>
      </c>
      <c r="C42" s="340">
        <v>0</v>
      </c>
      <c r="D42" s="1765">
        <v>30</v>
      </c>
      <c r="E42" s="1753"/>
      <c r="F42" s="103" t="s">
        <v>7</v>
      </c>
    </row>
    <row r="43" spans="2:6" ht="15" thickTop="1" x14ac:dyDescent="0.35">
      <c r="B43" s="1763" t="str">
        <f>VLOOKUP("Conexión a Internet",tabIdiomas[],MATCH('General Hipotheses (INTRO)'!$D$2,tabIdiomas[#Headers]),FALSE)</f>
        <v>Internet Connection</v>
      </c>
      <c r="C43" s="340">
        <v>12</v>
      </c>
      <c r="D43" s="1765">
        <v>30</v>
      </c>
      <c r="E43" s="1753"/>
    </row>
    <row r="44" spans="2:6" x14ac:dyDescent="0.35">
      <c r="B44" s="1763" t="str">
        <f>VLOOKUP("Subministro de Electricidade (Termo de Potencia)",tabIdiomas[],MATCH('General Hipotheses (INTRO)'!$D$2,tabIdiomas[#Headers]),FALSE)</f>
        <v>Electricity Supply (Power Term)</v>
      </c>
      <c r="C44" s="340">
        <v>12</v>
      </c>
      <c r="D44" s="1765">
        <f>0.13*3.3*30</f>
        <v>12.87</v>
      </c>
      <c r="E44" s="1753"/>
    </row>
    <row r="45" spans="2:6" x14ac:dyDescent="0.35">
      <c r="B45" s="1763" t="str">
        <f>VLOOKUP("Subministro de Electricidade (Termo de Enerxía e Outros)",tabIdiomas[],MATCH('General Hipotheses (INTRO)'!$D$2,tabIdiomas[#Headers]),FALSE)</f>
        <v>Electricity Supply (Energy Term and Other Concepts)</v>
      </c>
      <c r="C45" s="340">
        <v>12</v>
      </c>
      <c r="D45" s="1765">
        <f>0.13*100</f>
        <v>13</v>
      </c>
      <c r="E45" s="1753"/>
    </row>
    <row r="46" spans="2:6" ht="15" thickBot="1" x14ac:dyDescent="0.4">
      <c r="B46" s="1772" t="str">
        <f>VLOOKUP("Subministro de Auga Corrente",tabIdiomas[],MATCH('General Hipotheses (INTRO)'!$D$2,tabIdiomas[#Headers]),FALSE)</f>
        <v>Running Water Supply</v>
      </c>
      <c r="C46" s="341">
        <v>0</v>
      </c>
      <c r="D46" s="1773">
        <v>25</v>
      </c>
      <c r="E46" s="1753"/>
    </row>
    <row r="47" spans="2:6" ht="15.5" thickTop="1" thickBot="1" x14ac:dyDescent="0.4">
      <c r="E47" s="178"/>
    </row>
    <row r="48" spans="2:6" ht="15" thickTop="1" x14ac:dyDescent="0.35">
      <c r="B48" s="342" t="str">
        <f>VLOOKUP("Desglose de Gastos en Asesoramento e Xestoría (Outros Servizos)",tabIdiomas[],MATCH('General Hipotheses (INTRO)'!$D$2,tabIdiomas[#Headers]),FALSE)</f>
        <v>Details concerning Advisory and Managerial Expenses (Other Services)</v>
      </c>
      <c r="C48" s="343" t="str">
        <f>VLOOKUP("Imp. Mens. Por Socio (€)",tabIdiomas[],MATCH('General Hipotheses (INTRO)'!$D$2,tabIdiomas[#Headers]),FALSE)</f>
        <v>Monthly Amount per Partner (€)</v>
      </c>
      <c r="D48" s="337" t="str">
        <f>VLOOKUP("Importe Mensual (€)",tabIdiomas[],MATCH('General Hipotheses (INTRO)'!$D$2,tabIdiomas[#Headers]),FALSE)</f>
        <v>Total Monthly Amount (€)</v>
      </c>
      <c r="E48" s="1753"/>
    </row>
    <row r="49" spans="2:8" x14ac:dyDescent="0.35">
      <c r="B49" s="1774" t="str">
        <f>VLOOKUP("Xestión da Entidade (Ata 25 Socios)",tabIdiomas[],MATCH('General Hipotheses (INTRO)'!$D$2,tabIdiomas[#Headers]),FALSE)</f>
        <v>Entity Management (Up to 25 Partners)</v>
      </c>
      <c r="C49" s="99"/>
      <c r="D49" s="77">
        <v>60</v>
      </c>
      <c r="E49" s="1753"/>
      <c r="F49" s="64"/>
    </row>
    <row r="50" spans="2:8" x14ac:dyDescent="0.35">
      <c r="B50" s="1774" t="str">
        <f>VLOOKUP("Monitoring Socios",tabIdiomas[],MATCH('General Hipotheses (INTRO)'!$D$2,tabIdiomas[#Headers]),FALSE)</f>
        <v>Energy Monitoring for Partners</v>
      </c>
      <c r="C50" s="78">
        <v>1.5</v>
      </c>
      <c r="D50" s="101"/>
      <c r="E50" s="1775"/>
      <c r="F50" s="64"/>
      <c r="G50" s="65"/>
      <c r="H50" s="65"/>
    </row>
    <row r="51" spans="2:8" ht="15" thickBot="1" x14ac:dyDescent="0.4">
      <c r="B51" s="1776" t="str">
        <f>VLOOKUP("Asesoramento Contable, Fiscal e Outros",tabIdiomas[],MATCH('General Hipotheses (INTRO)'!$D$2,tabIdiomas[#Headers]),FALSE)</f>
        <v>Accounting Advisory, Tax Advisory and Other Advisory Services</v>
      </c>
      <c r="C51" s="100"/>
      <c r="D51" s="80">
        <v>30</v>
      </c>
      <c r="E51" s="995"/>
    </row>
    <row r="52" spans="2:8" ht="15.5" thickTop="1" thickBot="1" x14ac:dyDescent="0.4">
      <c r="B52" s="64"/>
      <c r="E52" s="995"/>
    </row>
    <row r="53" spans="2:8" ht="26" x14ac:dyDescent="0.35">
      <c r="B53" s="107" t="str">
        <f>VLOOKUP("Aplicabilidade do Epígrafe de Gasto 'Gastos Xerais Non Incluídos en Epígrafes Previos' (Mín. Outros Servizos = 5% s/ Cifra de Negocios)",tabIdiomas[],MATCH('General Hipotheses (INTRO)'!$D$2,tabIdiomas[#Headers]),FALSE)</f>
        <v>Applicability of the Expense Concept 'General Operating Expenses Not Included in Previous Items' (Min. Other Services = 5% Entity Turnover)</v>
      </c>
      <c r="E53" s="995"/>
    </row>
    <row r="54" spans="2:8" ht="15" thickBot="1" x14ac:dyDescent="0.4">
      <c r="B54" s="103" t="s">
        <v>5</v>
      </c>
      <c r="E54" s="995"/>
      <c r="F54" s="177"/>
      <c r="G54" s="177"/>
      <c r="H54" s="1777"/>
    </row>
    <row r="55" spans="2:8" ht="15.5" thickTop="1" thickBot="1" x14ac:dyDescent="0.4">
      <c r="B55" s="1778"/>
      <c r="E55" s="995"/>
      <c r="F55" s="177"/>
      <c r="G55" s="177"/>
      <c r="H55" s="1777"/>
    </row>
    <row r="56" spans="2:8" x14ac:dyDescent="0.35">
      <c r="B56" s="107" t="str">
        <f>VLOOKUP("Amortización Considerada Como Custo (Si/Non)",tabIdiomas[],MATCH('General Hipotheses (INTRO)'!$D$2,tabIdiomas[#Headers]),FALSE)</f>
        <v>Accounting 'Depreciation' Considered as a Cost (Yes/No)</v>
      </c>
      <c r="E56" s="995"/>
      <c r="F56" s="177"/>
      <c r="G56" s="177"/>
      <c r="H56" s="1777"/>
    </row>
    <row r="57" spans="2:8" ht="15" thickBot="1" x14ac:dyDescent="0.4">
      <c r="B57" s="103" t="s">
        <v>5</v>
      </c>
      <c r="E57" s="995"/>
      <c r="F57" s="177"/>
      <c r="G57" s="177"/>
      <c r="H57" s="1777"/>
    </row>
    <row r="58" spans="2:8" ht="15" thickTop="1" x14ac:dyDescent="0.35">
      <c r="B58" s="64"/>
      <c r="E58" s="995"/>
    </row>
    <row r="59" spans="2:8" ht="26" x14ac:dyDescent="0.35">
      <c r="B59" s="180" t="str">
        <f>VLOOKUP("Garantías, Taxas Autonómicas, Municipais e Outras Obrigas Tributarias",tabIdiomas[],MATCH('General Hipotheses (INTRO)'!$D$2,tabIdiomas[#Headers]),FALSE)</f>
        <v>Economic Guarantees, Regional and Municipal Taxes, and Other Fiscal Duties</v>
      </c>
      <c r="C59" s="154" t="str">
        <f>VLOOKUP("Base Impoñible",tabIdiomas[],MATCH('General Hipotheses (INTRO)'!$D$2,tabIdiomas[#Headers]),FALSE)</f>
        <v>Tax Base</v>
      </c>
      <c r="D59" s="154" t="str">
        <f>VLOOKUP("Tipo de Gravame",tabIdiomas[],MATCH('General Hipotheses (INTRO)'!$D$2,tabIdiomas[#Headers]),FALSE)</f>
        <v>Tax Rate</v>
      </c>
      <c r="E59" s="154" t="str">
        <f>VLOOKUP("Cota Tributaria Íntegra",tabIdiomas[],MATCH('General Hipotheses (INTRO)'!$D$2,tabIdiomas[#Headers]),FALSE)</f>
        <v>Tax Amount Payable (Prev. Deducts.), €</v>
      </c>
      <c r="F59" s="154" t="str">
        <f>VLOOKUP("Deduc. Ou Bonif. sobre a Cota",tabIdiomas[],MATCH('General Hipotheses (INTRO)'!$D$2,tabIdiomas[#Headers]),FALSE)</f>
        <v>Tax Deductions or Tax Bonifications Over Initial Tax Amount Payable (€)</v>
      </c>
      <c r="G59" s="168" t="str">
        <f>VLOOKUP("Aplicabilidade",tabIdiomas[],MATCH('General Hipotheses (INTRO)'!$D$2,tabIdiomas[#Headers]),FALSE)</f>
        <v>Applicability (Yes / No)</v>
      </c>
      <c r="H59" s="169"/>
    </row>
    <row r="60" spans="2:8" ht="29" x14ac:dyDescent="0.35">
      <c r="B60" s="158" t="str">
        <f>VLOOKUP("Garantía Económica para Tramitación da Solicitude de Acceso e Conexión á Rede (40€/KW)",tabIdiomas[],MATCH('General Hipotheses (INTRO)'!$D$2,tabIdiomas[#Headers]),FALSE)</f>
        <v>Economic Guarantee for the Grid Access and Connection Application (40€/KW)</v>
      </c>
      <c r="C60" s="344"/>
      <c r="D60" s="345">
        <v>40</v>
      </c>
      <c r="E60" s="346"/>
      <c r="F60" s="347">
        <v>0</v>
      </c>
      <c r="G60" s="356" t="s">
        <v>5</v>
      </c>
      <c r="H60" s="170"/>
    </row>
    <row r="61" spans="2:8" ht="29" x14ac:dyDescent="0.35">
      <c r="B61" s="157" t="str">
        <f>VLOOKUP("Taxa Autonómica por Inscrición en Rexistros Oficiais -Primeira Inscrición- (30.02.00 Anexo 1)",tabIdiomas[],MATCH('General Hipotheses (INTRO)'!$D$2,tabIdiomas[#Headers]),FALSE)</f>
        <v>Regional Tax for the First Registration -Official Electric Facilities Registry- (For Galicia, Tax Code 30.02.00 Annex 1)</v>
      </c>
      <c r="C61" s="348"/>
      <c r="D61" s="348"/>
      <c r="E61" s="349">
        <v>10.47</v>
      </c>
      <c r="F61" s="349">
        <v>0</v>
      </c>
      <c r="G61" s="357" t="s">
        <v>7</v>
      </c>
      <c r="H61" s="170"/>
    </row>
    <row r="62" spans="2:8" ht="29" hidden="1" x14ac:dyDescent="0.35">
      <c r="B62" s="155" t="s">
        <v>13</v>
      </c>
      <c r="C62" s="350"/>
      <c r="D62" s="350"/>
      <c r="E62" s="351">
        <v>2709.61</v>
      </c>
      <c r="F62" s="351">
        <v>0</v>
      </c>
      <c r="G62" s="358" t="s">
        <v>12</v>
      </c>
      <c r="H62" s="170"/>
    </row>
    <row r="63" spans="2:8" ht="29" hidden="1" x14ac:dyDescent="0.35">
      <c r="B63" s="155" t="s">
        <v>14</v>
      </c>
      <c r="C63" s="350"/>
      <c r="D63" s="350"/>
      <c r="E63" s="351">
        <f>IF('Hipóteses xerais (2)'!$C$17&gt;100,(90+('Hipóteses xerais (2)'!$C$17*0.05)),97.54)</f>
        <v>97.54</v>
      </c>
      <c r="F63" s="351">
        <v>0</v>
      </c>
      <c r="G63" s="358" t="s">
        <v>12</v>
      </c>
      <c r="H63" s="170"/>
    </row>
    <row r="64" spans="2:8" ht="29.5" hidden="1" thickBot="1" x14ac:dyDescent="0.4">
      <c r="B64" s="159" t="s">
        <v>15</v>
      </c>
      <c r="C64" s="352"/>
      <c r="D64" s="352"/>
      <c r="E64" s="353">
        <f>IF('Hipóteses xerais (2)'!$C$19&gt;60000,(191.25+(7.97*('Hipóteses xerais (2)'!$C$19-60000)/6000)),191.25)</f>
        <v>223.13</v>
      </c>
      <c r="F64" s="354">
        <v>0</v>
      </c>
      <c r="G64" s="359" t="s">
        <v>12</v>
      </c>
      <c r="H64" s="170"/>
    </row>
    <row r="65" spans="2:8" x14ac:dyDescent="0.35">
      <c r="B65" s="157" t="str">
        <f>VLOOKUP("Taxa por Licencia Urbanística (Municipal)",tabIdiomas[],MATCH('General Hipotheses (INTRO)'!$D$2,tabIdiomas[#Headers]),FALSE)</f>
        <v>Municipal Tax for the Urbanistic License Issuance</v>
      </c>
      <c r="C65" s="1779"/>
      <c r="D65" s="1780"/>
      <c r="E65" s="349">
        <v>0</v>
      </c>
      <c r="F65" s="349">
        <v>0</v>
      </c>
      <c r="G65" s="360" t="s">
        <v>7</v>
      </c>
      <c r="H65" s="1781"/>
    </row>
    <row r="66" spans="2:8" ht="29" x14ac:dyDescent="0.35">
      <c r="B66" s="155" t="str">
        <f>VLOOKUP("Imposto sobre Construccións, Instalacións e Obras",tabIdiomas[],MATCH('General Hipotheses (INTRO)'!$D$2,tabIdiomas[#Headers]),FALSE)</f>
        <v>Municipal Tax Over Constructions, Facilities and Works (ICIO, in Spain)</v>
      </c>
      <c r="C66" s="1782"/>
      <c r="D66" s="1783"/>
      <c r="E66" s="351">
        <v>0</v>
      </c>
      <c r="F66" s="351">
        <v>0</v>
      </c>
      <c r="G66" s="358" t="s">
        <v>7</v>
      </c>
      <c r="H66" s="1781"/>
    </row>
    <row r="67" spans="2:8" x14ac:dyDescent="0.35">
      <c r="B67" s="155" t="str">
        <f>VLOOKUP("Taxa por Obtención de Licencia de Actividade",tabIdiomas[],MATCH('General Hipotheses (INTRO)'!$D$2,tabIdiomas[#Headers]),FALSE)</f>
        <v>License of Activity Issuance Tax</v>
      </c>
      <c r="C67" s="1782"/>
      <c r="D67" s="1783"/>
      <c r="E67" s="351">
        <v>0</v>
      </c>
      <c r="F67" s="351">
        <v>0</v>
      </c>
      <c r="G67" s="358" t="s">
        <v>7</v>
      </c>
      <c r="H67" s="1781"/>
    </row>
    <row r="68" spans="2:8" x14ac:dyDescent="0.35">
      <c r="B68" s="156" t="str">
        <f>VLOOKUP("Outras Obrigas Tributarias",tabIdiomas[],MATCH('General Hipotheses (INTRO)'!$D$2,tabIdiomas[#Headers]),FALSE)</f>
        <v>Other Fiscal Duties</v>
      </c>
      <c r="C68" s="1784"/>
      <c r="D68" s="1785"/>
      <c r="E68" s="355">
        <v>0</v>
      </c>
      <c r="F68" s="355">
        <v>0</v>
      </c>
      <c r="G68" s="361" t="s">
        <v>7</v>
      </c>
      <c r="H68" s="1781"/>
    </row>
    <row r="69" spans="2:8" ht="15" thickTop="1" x14ac:dyDescent="0.35"/>
    <row r="70" spans="2:8" ht="15" thickBot="1" x14ac:dyDescent="0.4"/>
    <row r="71" spans="2:8" ht="15.5" thickTop="1" thickBot="1" x14ac:dyDescent="0.4">
      <c r="C71" s="342" t="str">
        <f>VLOOKUP("Unidades",tabIdiomas[],MATCH('General Hipotheses (INTRO)'!$D$2,tabIdiomas[#Headers]),FALSE)</f>
        <v>Units</v>
      </c>
      <c r="D71" s="337" t="str">
        <f>VLOOKUP("Valor Unitario",tabIdiomas[],MATCH('General Hipotheses (INTRO)'!$D$2,tabIdiomas[#Headers]),FALSE)</f>
        <v>Unit Value (€)</v>
      </c>
    </row>
    <row r="72" spans="2:8" ht="15.5" thickTop="1" thickBot="1" x14ac:dyDescent="0.4">
      <c r="B72" s="1786" t="str">
        <f>VLOOKUP("Outras Perdas en Xestión Corrente",tabIdiomas[],MATCH('General Hipotheses (INTRO)'!$D$2,tabIdiomas[#Headers]),FALSE)</f>
        <v>Other Losses Arising From Ordinary Corporate Operation Activities</v>
      </c>
      <c r="C72" s="86">
        <v>10</v>
      </c>
      <c r="D72" s="1756">
        <v>5</v>
      </c>
    </row>
    <row r="73" spans="2:8" ht="15" thickTop="1" x14ac:dyDescent="0.35"/>
    <row r="76" spans="2:8" x14ac:dyDescent="0.35">
      <c r="E76" s="626"/>
    </row>
    <row r="78" spans="2:8" x14ac:dyDescent="0.35">
      <c r="B78" s="1787"/>
      <c r="C78" s="1788"/>
    </row>
    <row r="88" spans="2:9" x14ac:dyDescent="0.35">
      <c r="B88" s="65"/>
      <c r="C88" s="174"/>
      <c r="D88" s="174"/>
      <c r="E88" s="175"/>
      <c r="F88" s="174"/>
      <c r="G88" s="65"/>
    </row>
    <row r="89" spans="2:9" x14ac:dyDescent="0.35">
      <c r="B89" s="176"/>
      <c r="C89" s="177"/>
      <c r="D89" s="177"/>
      <c r="E89" s="178"/>
      <c r="F89" s="178"/>
      <c r="G89" s="178"/>
      <c r="H89" s="177"/>
      <c r="I89" s="178"/>
    </row>
    <row r="91" spans="2:9" x14ac:dyDescent="0.35">
      <c r="B91" s="178"/>
      <c r="C91" s="178"/>
      <c r="D91" s="178"/>
      <c r="E91" s="178"/>
      <c r="F91" s="178"/>
      <c r="G91" s="178"/>
    </row>
    <row r="93" spans="2:9" x14ac:dyDescent="0.35">
      <c r="B93" s="95"/>
      <c r="G93" s="699"/>
    </row>
  </sheetData>
  <sheetProtection algorithmName="SHA-512" hashValue="WHeYBV7NwBKxGt/34XptBBwOBJb2vFf7HjTFcEs+Y9x3fTTEt5SXCe8EekQO7GxDrNHpZSTl9hTa5cnAYMfHTQ==" saltValue="Gy0loJGvFh9goWSAtFLGKw==" spinCount="100000" sheet="1" objects="1" scenarios="1"/>
  <protectedRanges>
    <protectedRange sqref="C5:D10 C16:C18 D16 D18 F5 F17 D25 C27:D28 C30:D34 C35:C36 D36 C38:D40 C42:D46 F42 D49 C50 D51 B54 B57 D60 E61:E68 C64:D68 F60:G68 C72:D72" name="Gastos"/>
  </protectedRanges>
  <dataValidations count="4">
    <dataValidation type="list" allowBlank="1" showInputMessage="1" showErrorMessage="1" sqref="G62:G64 G62:G64" xr:uid="{E8984672-CD26-4459-A34A-22C04A6A42D7}">
      <formula1>"Si,Non"</formula1>
    </dataValidation>
    <dataValidation type="decimal" operator="greaterThanOrEqual" allowBlank="1" showInputMessage="1" showErrorMessage="1" sqref="F60:F68 D51 C5:C10 D6:D10 D16 C18:D18 C27:C28 D25 D27 D28 C30:D34 C36:D36 C38:D40 C42:D46 C50 D49 D60 E61:E68 C72:D72" xr:uid="{0CE70F0F-F0CE-4022-87EA-249ACB95B432}">
      <formula1>0</formula1>
    </dataValidation>
    <dataValidation type="decimal" allowBlank="1" showInputMessage="1" showErrorMessage="1" sqref="C16" xr:uid="{4EC53BFF-7E22-4863-91D9-8CADB2EEC731}">
      <formula1>0</formula1>
      <formula2>1000</formula2>
    </dataValidation>
    <dataValidation type="decimal" allowBlank="1" showInputMessage="1" showErrorMessage="1" sqref="C17 C35" xr:uid="{3EC44AAC-27BC-48E2-88C5-3C5A1FB859AF}">
      <formula1>0</formula1>
      <formula2>1</formula2>
    </dataValidation>
  </dataValidations>
  <printOptions horizontalCentered="1" verticalCentered="1"/>
  <pageMargins left="0.70866141732283472" right="0.70866141732283472" top="0.15748031496062992" bottom="0.15748031496062992" header="0.31496062992125984" footer="0.31496062992125984"/>
  <pageSetup paperSize="9" scale="69" fitToHeight="0" orientation="landscape" horizontalDpi="1200" verticalDpi="1200" r:id="rId1"/>
  <extLst>
    <ext xmlns:x14="http://schemas.microsoft.com/office/spreadsheetml/2009/9/main" uri="{CCE6A557-97BC-4b89-ADB6-D9C93CAAB3DF}">
      <x14:dataValidations xmlns:xm="http://schemas.microsoft.com/office/excel/2006/main" count="11">
        <x14:dataValidation type="list" allowBlank="1" showInputMessage="1" showErrorMessage="1" xr:uid="{4A34F454-E4E8-4500-81AB-A0FA65C756B5}">
          <x14:formula1>
            <xm:f>'Cuestións e Respostas'!$P$3:$P$5</xm:f>
          </x14:formula1>
          <xm:sqref>F17</xm:sqref>
        </x14:dataValidation>
        <x14:dataValidation type="list" allowBlank="1" showInputMessage="1" showErrorMessage="1" xr:uid="{4CBF986D-ADEA-4775-A5AB-3254FD6B7D7E}">
          <x14:formula1>
            <xm:f>'Cuestións e Respostas'!$N$3:$N$4</xm:f>
          </x14:formula1>
          <xm:sqref>F5</xm:sqref>
        </x14:dataValidation>
        <x14:dataValidation type="list" allowBlank="1" showInputMessage="1" showErrorMessage="1" xr:uid="{5B1A50B6-6A5E-4F47-A2A7-0DD95A064A23}">
          <x14:formula1>
            <xm:f>'Cuestións e Respostas'!$Z$3:$Z$4</xm:f>
          </x14:formula1>
          <xm:sqref>F42</xm:sqref>
        </x14:dataValidation>
        <x14:dataValidation type="list" allowBlank="1" showInputMessage="1" showErrorMessage="1" xr:uid="{AB6B91A8-662F-4013-AB57-2A7D37B4248F}">
          <x14:formula1>
            <xm:f>'Cuestións e Respostas'!$AD$3:$AD$4</xm:f>
          </x14:formula1>
          <xm:sqref>B54</xm:sqref>
        </x14:dataValidation>
        <x14:dataValidation type="list" allowBlank="1" showInputMessage="1" showErrorMessage="1" xr:uid="{7939B019-6D5F-4029-A09D-011DF3483254}">
          <x14:formula1>
            <xm:f>'Cuestións e Respostas'!$AF$3:$AF$4</xm:f>
          </x14:formula1>
          <xm:sqref>B57</xm:sqref>
        </x14:dataValidation>
        <x14:dataValidation type="list" allowBlank="1" showInputMessage="1" showErrorMessage="1" xr:uid="{E8695649-D8F7-4753-8441-14EBAF33EC89}">
          <x14:formula1>
            <xm:f>'Cuestións e Respostas'!$AJ$3:$AJ$4</xm:f>
          </x14:formula1>
          <xm:sqref>G60</xm:sqref>
        </x14:dataValidation>
        <x14:dataValidation type="list" allowBlank="1" showInputMessage="1" showErrorMessage="1" xr:uid="{E0F7E332-DD38-42B2-9F92-8D8452047A48}">
          <x14:formula1>
            <xm:f>'Cuestións e Respostas'!$AL$3:$AL$4</xm:f>
          </x14:formula1>
          <xm:sqref>G61</xm:sqref>
        </x14:dataValidation>
        <x14:dataValidation type="list" allowBlank="1" showInputMessage="1" showErrorMessage="1" xr:uid="{A0637E17-6188-465E-9BE1-354A3D4F0DB1}">
          <x14:formula1>
            <xm:f>'Cuestións e Respostas'!$AN$3:$AN$4</xm:f>
          </x14:formula1>
          <xm:sqref>G65</xm:sqref>
        </x14:dataValidation>
        <x14:dataValidation type="list" allowBlank="1" showInputMessage="1" showErrorMessage="1" xr:uid="{658F6AE9-DAD5-4B33-B4BA-BD9C689BBF50}">
          <x14:formula1>
            <xm:f>'Cuestións e Respostas'!$AP$3:$AP$4</xm:f>
          </x14:formula1>
          <xm:sqref>G66</xm:sqref>
        </x14:dataValidation>
        <x14:dataValidation type="list" allowBlank="1" showInputMessage="1" showErrorMessage="1" xr:uid="{46EF2DA1-EC7D-46D5-A595-328223A423E0}">
          <x14:formula1>
            <xm:f>'Cuestións e Respostas'!$AR$3:$AR$4</xm:f>
          </x14:formula1>
          <xm:sqref>G67</xm:sqref>
        </x14:dataValidation>
        <x14:dataValidation type="list" allowBlank="1" showInputMessage="1" showErrorMessage="1" xr:uid="{7B53DEED-40F8-4F46-A1F5-90CEFC6396BB}">
          <x14:formula1>
            <xm:f>'Cuestións e Respostas'!$AT$3:$AT$4</xm:f>
          </x14:formula1>
          <xm:sqref>G68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02082-E9FC-445D-8231-944A8C204DA1}">
  <sheetPr>
    <tabColor theme="9" tint="0.39997558519241921"/>
    <pageSetUpPr fitToPage="1"/>
  </sheetPr>
  <dimension ref="A2:I93"/>
  <sheetViews>
    <sheetView topLeftCell="A49" zoomScaleNormal="100" workbookViewId="0">
      <selection activeCell="B57" sqref="B57"/>
    </sheetView>
  </sheetViews>
  <sheetFormatPr baseColWidth="10" defaultColWidth="11.54296875" defaultRowHeight="14.5" x14ac:dyDescent="0.35"/>
  <cols>
    <col min="2" max="2" width="57.1796875" bestFit="1" customWidth="1"/>
    <col min="3" max="3" width="26.81640625" bestFit="1" customWidth="1"/>
    <col min="4" max="4" width="20.81640625" bestFit="1" customWidth="1"/>
    <col min="5" max="5" width="16.1796875" customWidth="1"/>
    <col min="6" max="6" width="42.1796875" bestFit="1" customWidth="1"/>
    <col min="7" max="7" width="12.1796875" bestFit="1" customWidth="1"/>
    <col min="8" max="8" width="17.453125" customWidth="1"/>
    <col min="9" max="9" width="21.81640625" customWidth="1"/>
  </cols>
  <sheetData>
    <row r="2" spans="2:7" ht="15" thickBot="1" x14ac:dyDescent="0.4"/>
    <row r="3" spans="2:7" ht="15.5" thickTop="1" thickBot="1" x14ac:dyDescent="0.4">
      <c r="B3" s="60" t="str">
        <f>VLOOKUP("GASTOS: Compras de Materiais e Servizos",tabIdiomas[],MATCH('Hipóteses Xerais'!$D$2,tabIdiomas[#Headers]),FALSE)</f>
        <v>GASTOS: Compras de Materiais e Servizos</v>
      </c>
      <c r="C3" s="61" t="str">
        <f>VLOOKUP("Unidades",tabIdiomas[],MATCH('Hipóteses Xerais'!$D$2,tabIdiomas[#Headers]),FALSE)</f>
        <v>Unidades</v>
      </c>
      <c r="D3" s="62" t="str">
        <f>VLOOKUP("Valor Unitario",tabIdiomas[],MATCH('Hipóteses Xerais'!$D$2,tabIdiomas[#Headers]),FALSE)</f>
        <v>Valor Unitario</v>
      </c>
    </row>
    <row r="4" spans="2:7" ht="15.5" thickTop="1" thickBot="1" x14ac:dyDescent="0.4">
      <c r="B4" s="88" t="str">
        <f>VLOOKUP("Compras de Outros Aprovisionamentos",tabIdiomas[],MATCH('Hipóteses Xerais'!$D$2,tabIdiomas[#Headers]),FALSE)</f>
        <v>Compras de Outros Aprovisionamentos</v>
      </c>
      <c r="C4" s="52"/>
      <c r="D4" s="89"/>
      <c r="F4" s="102" t="str">
        <f>VLOOKUP("Compras de Materiais e Servizos (Si/Non)",tabIdiomas[],MATCH('Hipóteses Xerais'!$D$2,tabIdiomas[#Headers]),FALSE)</f>
        <v>Compras de Materiais e Servizos (Si/Non)</v>
      </c>
      <c r="G4" s="15"/>
    </row>
    <row r="5" spans="2:7" x14ac:dyDescent="0.35">
      <c r="B5" s="90" t="str">
        <f>VLOOKUP("Compras de Elementos e Conxuntos Incorporables",tabIdiomas[],MATCH('Hipóteses Xerais'!$D$2,tabIdiomas[#Headers]),FALSE)</f>
        <v>Compras de Elementos e Conxuntos Incorporables</v>
      </c>
      <c r="C5" s="284">
        <f>'Expenses Hipotheses (INTRO)'!C5</f>
        <v>0</v>
      </c>
      <c r="D5" s="91"/>
      <c r="F5" s="312" t="str">
        <f>INDEX(tabRespPreg1510[Respuestas Pregunta],MATCH('Expenses Hipotheses (INTRO)'!F5,tabRespPreg1510[Opciones mostradas],0),1)</f>
        <v>Non</v>
      </c>
    </row>
    <row r="6" spans="2:7" ht="15" thickTop="1" x14ac:dyDescent="0.35">
      <c r="B6" s="90" t="str">
        <f>VLOOKUP("Compras de Combustibles",tabIdiomas[],MATCH('Hipóteses Xerais'!$D$2,tabIdiomas[#Headers]),FALSE)</f>
        <v>Compras de Combustibles</v>
      </c>
      <c r="C6" s="284">
        <f>'Expenses Hipotheses (INTRO)'!C6</f>
        <v>0</v>
      </c>
      <c r="D6" s="91"/>
      <c r="E6" s="13"/>
    </row>
    <row r="7" spans="2:7" x14ac:dyDescent="0.35">
      <c r="B7" s="90" t="str">
        <f>VLOOKUP("Compras de Repostos",tabIdiomas[],MATCH('Hipóteses Xerais'!$D$2,tabIdiomas[#Headers]),FALSE)</f>
        <v>Compras de Repostos</v>
      </c>
      <c r="C7" s="284">
        <f>'Expenses Hipotheses (INTRO)'!C7</f>
        <v>1</v>
      </c>
      <c r="D7" s="266">
        <f>'Expenses Hipotheses (INTRO)'!D7</f>
        <v>150</v>
      </c>
      <c r="E7" s="51"/>
    </row>
    <row r="8" spans="2:7" x14ac:dyDescent="0.35">
      <c r="B8" s="90" t="str">
        <f>VLOOKUP("Compras de Materiais Diversos",tabIdiomas[],MATCH('Hipóteses Xerais'!$D$2,tabIdiomas[#Headers]),FALSE)</f>
        <v>Compras de Materiais Diversos</v>
      </c>
      <c r="C8" s="284">
        <f>'Expenses Hipotheses (INTRO)'!C8</f>
        <v>0</v>
      </c>
      <c r="D8" s="266">
        <f>'Expenses Hipotheses (INTRO)'!D8</f>
        <v>0</v>
      </c>
      <c r="E8" s="9"/>
    </row>
    <row r="9" spans="2:7" x14ac:dyDescent="0.35">
      <c r="B9" s="90" t="str">
        <f>VLOOKUP("Compras de Material de Oficina",tabIdiomas[],MATCH('Hipóteses Xerais'!$D$2,tabIdiomas[#Headers]),FALSE)</f>
        <v>Compras de Material de Oficina</v>
      </c>
      <c r="C9" s="284">
        <f>'Expenses Hipotheses (INTRO)'!C9</f>
        <v>12</v>
      </c>
      <c r="D9" s="266">
        <f>'Expenses Hipotheses (INTRO)'!D9</f>
        <v>25</v>
      </c>
      <c r="E9" s="9"/>
    </row>
    <row r="10" spans="2:7" ht="15" thickBot="1" x14ac:dyDescent="0.4">
      <c r="B10" s="92" t="str">
        <f>VLOOKUP("Traballos realizados por Outras Empresas",tabIdiomas[],MATCH('Hipóteses Xerais'!$D$2,tabIdiomas[#Headers]),FALSE)</f>
        <v>Traballos realizados por Outras Empresas</v>
      </c>
      <c r="C10" s="285">
        <f>'Expenses Hipotheses (INTRO)'!C10</f>
        <v>0</v>
      </c>
      <c r="D10" s="286">
        <f>'Expenses Hipotheses (INTRO)'!D10</f>
        <v>150</v>
      </c>
      <c r="E10" s="9"/>
    </row>
    <row r="11" spans="2:7" ht="15" thickTop="1" x14ac:dyDescent="0.35">
      <c r="E11" s="9"/>
    </row>
    <row r="12" spans="2:7" x14ac:dyDescent="0.35">
      <c r="E12" s="9"/>
    </row>
    <row r="13" spans="2:7" x14ac:dyDescent="0.35">
      <c r="E13" s="51"/>
    </row>
    <row r="14" spans="2:7" ht="15" thickBot="1" x14ac:dyDescent="0.4"/>
    <row r="15" spans="2:7" ht="15.5" thickTop="1" thickBot="1" x14ac:dyDescent="0.4">
      <c r="B15" s="60" t="str">
        <f>VLOOKUP("GASTOS: Gastos de Persoal",tabIdiomas[],MATCH('Hipóteses Xerais'!$D$2,tabIdiomas[#Headers]),FALSE)</f>
        <v>GASTOS: Gastos de Persoal</v>
      </c>
      <c r="C15" s="81" t="str">
        <f>VLOOKUP("Unidades",tabIdiomas[],MATCH('Hipóteses Xerais'!$D$2,tabIdiomas[#Headers]),FALSE)</f>
        <v>Unidades</v>
      </c>
      <c r="D15" s="75" t="str">
        <f>VLOOKUP("Retrib. Bruta Mensual",tabIdiomas[],MATCH('Hipóteses Xerais'!$D$2,tabIdiomas[#Headers]),FALSE)</f>
        <v>Retrib. Bruta Mensual</v>
      </c>
      <c r="E15" s="95"/>
    </row>
    <row r="16" spans="2:7" ht="15.5" thickTop="1" thickBot="1" x14ac:dyDescent="0.4">
      <c r="B16" s="96" t="str">
        <f>VLOOKUP("Número de Empregados a Xornada Completa Equivalentes",tabIdiomas[],MATCH('Hipóteses Xerais'!$D$2,tabIdiomas[#Headers]),FALSE)</f>
        <v>Número de Empregados a Xornada Completa Equivalentes</v>
      </c>
      <c r="C16" s="287">
        <f>'Expenses Hipotheses (INTRO)'!C16</f>
        <v>0.125</v>
      </c>
      <c r="D16" s="290">
        <f>'Expenses Hipotheses (INTRO)'!D16</f>
        <v>800</v>
      </c>
      <c r="E16" s="54"/>
      <c r="F16" s="106" t="str">
        <f>VLOOKUP("Realización das Labores de Xestión",tabIdiomas[],MATCH('Hipóteses Xerais'!$D$2,tabIdiomas[#Headers]),FALSE)</f>
        <v>Realización das Labores de Xestión</v>
      </c>
    </row>
    <row r="17" spans="1:6" x14ac:dyDescent="0.35">
      <c r="B17" s="90" t="str">
        <f>VLOOKUP("Seguridade Social a cargo da Empresa",tabIdiomas[],MATCH('Hipóteses Xerais'!$D$2,tabIdiomas[#Headers]),FALSE)</f>
        <v>Seguridade Social a cargo da Empresa</v>
      </c>
      <c r="C17" s="288">
        <f>'Expenses Hipotheses (INTRO)'!C17</f>
        <v>0.32</v>
      </c>
      <c r="D17" s="97"/>
      <c r="E17" s="54"/>
      <c r="F17" s="312" t="str">
        <f>INDEX(tabRespPreg112[Respuestas Pregunta],MATCH('Expenses Hipotheses (INTRO)'!F17,tabRespPreg112[Opciones mostradas],0),1)</f>
        <v>Auto-explotación</v>
      </c>
    </row>
    <row r="18" spans="1:6" ht="15.5" thickTop="1" thickBot="1" x14ac:dyDescent="0.4">
      <c r="B18" s="98" t="str">
        <f>VLOOKUP("Outros gastos sociais",tabIdiomas[],MATCH('Hipóteses Xerais'!$D$2,tabIdiomas[#Headers]),FALSE)</f>
        <v>Outros gastos sociais</v>
      </c>
      <c r="C18" s="289">
        <f>'Expenses Hipotheses (INTRO)'!C18</f>
        <v>0</v>
      </c>
      <c r="D18" s="291">
        <f>'Expenses Hipotheses (INTRO)'!D18</f>
        <v>0</v>
      </c>
      <c r="E18" s="54"/>
    </row>
    <row r="19" spans="1:6" ht="15" thickTop="1" x14ac:dyDescent="0.35"/>
    <row r="23" spans="1:6" ht="15" thickBot="1" x14ac:dyDescent="0.4"/>
    <row r="24" spans="1:6" ht="15" thickTop="1" x14ac:dyDescent="0.35">
      <c r="B24" s="60" t="str">
        <f>VLOOKUP("GASTOS: Gastos en Servizos Exteriores (Excl. Outros Servicios)",tabIdiomas[],MATCH('Hipóteses Xerais'!$D$2,tabIdiomas[#Headers]),FALSE)</f>
        <v>GASTOS: Gastos en Servizos Exteriores (Excl. Outros Servicios)</v>
      </c>
      <c r="C24" s="81" t="str">
        <f>VLOOKUP("Unidades",tabIdiomas[],MATCH('Hipóteses Xerais'!$D$2,tabIdiomas[#Headers]),FALSE)</f>
        <v>Unidades</v>
      </c>
      <c r="D24" s="75" t="str">
        <f>VLOOKUP("Valor Unitario",tabIdiomas[],MATCH('Hipóteses Xerais'!$D$2,tabIdiomas[#Headers]),FALSE)</f>
        <v>Valor Unitario</v>
      </c>
      <c r="E24" s="55"/>
    </row>
    <row r="25" spans="1:6" x14ac:dyDescent="0.35">
      <c r="B25" s="67" t="str">
        <f>VLOOKUP("Arrendamentos e Cánones (Aluguer terreos)",tabIdiomas[],MATCH('Hipóteses Xerais'!$D$2,tabIdiomas[#Headers]),FALSE)</f>
        <v>Arrendamentos e Cánones (Aluguer terreos)</v>
      </c>
      <c r="C25" s="212"/>
      <c r="D25" s="292">
        <f>'Expenses Hipotheses (INTRO)'!D25</f>
        <v>1.2</v>
      </c>
      <c r="E25" s="54"/>
    </row>
    <row r="26" spans="1:6" x14ac:dyDescent="0.35">
      <c r="B26" s="68" t="str">
        <f>VLOOKUP("Reparacións e Mantemento das Instalacións",tabIdiomas[],MATCH('Hipóteses Xerais'!$D$2,tabIdiomas[#Headers]),FALSE)</f>
        <v>Reparacións e Mantemento das Instalacións</v>
      </c>
      <c r="C26" s="82"/>
      <c r="D26" s="83"/>
      <c r="E26" s="51"/>
    </row>
    <row r="27" spans="1:6" x14ac:dyDescent="0.35">
      <c r="A27" s="8"/>
      <c r="B27" s="69" t="str">
        <f>VLOOKUP("Reparación das Instalacións",tabIdiomas[],MATCH('Hipóteses Xerais'!$D$2,tabIdiomas[#Headers]),FALSE)</f>
        <v>Reparación das Instalacións</v>
      </c>
      <c r="C27" s="293">
        <f>'Expenses Hipotheses (INTRO)'!C27</f>
        <v>1</v>
      </c>
      <c r="D27" s="290">
        <f>'Expenses Hipotheses (INTRO)'!D27</f>
        <v>100</v>
      </c>
      <c r="E27" s="51"/>
    </row>
    <row r="28" spans="1:6" x14ac:dyDescent="0.35">
      <c r="A28" s="8"/>
      <c r="B28" s="69" t="str">
        <f>VLOOKUP("Mantemento das Instalacións",tabIdiomas[],MATCH('Hipóteses Xerais'!$D$2,tabIdiomas[#Headers]),FALSE)</f>
        <v>Mantemento das Instalacións</v>
      </c>
      <c r="C28" s="293">
        <f>'Expenses Hipotheses (INTRO)'!C28</f>
        <v>1</v>
      </c>
      <c r="D28" s="290">
        <f>'Expenses Hipotheses (INTRO)'!D28</f>
        <v>500</v>
      </c>
      <c r="E28" s="51"/>
    </row>
    <row r="29" spans="1:6" s="10" customFormat="1" ht="29" x14ac:dyDescent="0.35">
      <c r="B29" s="70" t="str">
        <f>VLOOKUP("Servicios de Profesionais Indep. (Notarios, Avogados, Rexistradores, Economistas, Asesores, etc.)",tabIdiomas[],MATCH('Hipóteses Xerais'!$D$2,tabIdiomas[#Headers]),FALSE)</f>
        <v>Servicios de Profesionais Indep. (Notarios, Avogados, Rexistradores, Economistas, Asesores, etc.)</v>
      </c>
      <c r="C29" s="82"/>
      <c r="D29" s="83"/>
      <c r="E29" s="56"/>
    </row>
    <row r="30" spans="1:6" x14ac:dyDescent="0.35">
      <c r="B30" s="71" t="str">
        <f>VLOOKUP("Gastos de Notaría e Rexistro",tabIdiomas[],MATCH('Hipóteses Xerais'!$D$2,tabIdiomas[#Headers]),FALSE)</f>
        <v>Gastos de Notaría e Rexistro</v>
      </c>
      <c r="C30" s="293">
        <f>'Expenses Hipotheses (INTRO)'!C30</f>
        <v>0</v>
      </c>
      <c r="D30" s="296">
        <f>'Expenses Hipotheses (INTRO)'!D30</f>
        <v>0</v>
      </c>
      <c r="E30" s="57"/>
    </row>
    <row r="31" spans="1:6" x14ac:dyDescent="0.35">
      <c r="B31" s="71" t="str">
        <f>VLOOKUP("Gastos de Asesoría Xurídica",tabIdiomas[],MATCH('Hipóteses Xerais'!$D$2,tabIdiomas[#Headers]),FALSE)</f>
        <v>Gastos de Asesoría Xurídica</v>
      </c>
      <c r="C31" s="293">
        <f>'Expenses Hipotheses (INTRO)'!C31</f>
        <v>0</v>
      </c>
      <c r="D31" s="296">
        <f>'Expenses Hipotheses (INTRO)'!D31</f>
        <v>0</v>
      </c>
      <c r="E31" s="57"/>
    </row>
    <row r="32" spans="1:6" x14ac:dyDescent="0.35">
      <c r="B32" s="71" t="str">
        <f>VLOOKUP("Gastos de Asesoramento Económico-Financeiro",tabIdiomas[],MATCH('Hipóteses Xerais'!$D$2,tabIdiomas[#Headers]),FALSE)</f>
        <v>Gastos de Asesoramento Económico-Financeiro</v>
      </c>
      <c r="C32" s="293">
        <f>'Expenses Hipotheses (INTRO)'!C32</f>
        <v>0</v>
      </c>
      <c r="D32" s="296">
        <f>'Expenses Hipotheses (INTRO)'!D32</f>
        <v>0</v>
      </c>
      <c r="E32" s="57"/>
    </row>
    <row r="33" spans="2:6" x14ac:dyDescent="0.35">
      <c r="B33" s="71" t="str">
        <f>VLOOKUP("Gastos de Asesoramento Técnico (Enxeñería)",tabIdiomas[],MATCH('Hipóteses Xerais'!$D$2,tabIdiomas[#Headers]),FALSE)</f>
        <v>Gastos de Asesoramento Técnico (Enxeñería)</v>
      </c>
      <c r="C33" s="293">
        <f>'Expenses Hipotheses (INTRO)'!C33</f>
        <v>0</v>
      </c>
      <c r="D33" s="296">
        <f>'Expenses Hipotheses (INTRO)'!D33</f>
        <v>0</v>
      </c>
      <c r="E33" s="57"/>
    </row>
    <row r="34" spans="2:6" x14ac:dyDescent="0.35">
      <c r="B34" s="68" t="str">
        <f>VLOOKUP("Transportes",tabIdiomas[],MATCH('Hipóteses Xerais'!$D$2,tabIdiomas[#Headers]),FALSE)</f>
        <v>Transportes</v>
      </c>
      <c r="C34" s="294">
        <f>'Expenses Hipotheses (INTRO)'!C34</f>
        <v>0</v>
      </c>
      <c r="D34" s="297">
        <f>'Expenses Hipotheses (INTRO)'!D34</f>
        <v>0</v>
      </c>
      <c r="E34" s="51"/>
    </row>
    <row r="35" spans="2:6" x14ac:dyDescent="0.35">
      <c r="B35" s="68" t="str">
        <f>VLOOKUP("Primas de Seguros (% do Investimento Inicial, Anual)",tabIdiomas[],MATCH('Hipóteses Xerais'!$D$2,tabIdiomas[#Headers]),FALSE)</f>
        <v>Primas de Seguros (% do Investimento Inicial, Anual)</v>
      </c>
      <c r="C35" s="295">
        <f>'Expenses Hipotheses (INTRO)'!C35</f>
        <v>0.02</v>
      </c>
      <c r="D35" s="84"/>
      <c r="E35" s="51"/>
    </row>
    <row r="36" spans="2:6" x14ac:dyDescent="0.35">
      <c r="B36" s="68" t="str">
        <f>VLOOKUP("Servizos Bancarios",tabIdiomas[],MATCH('Hipóteses Xerais'!$D$2,tabIdiomas[#Headers]),FALSE)</f>
        <v>Servizos Bancarios</v>
      </c>
      <c r="C36" s="294">
        <f>'Expenses Hipotheses (INTRO)'!C36</f>
        <v>4</v>
      </c>
      <c r="D36" s="298">
        <f>'Expenses Hipotheses (INTRO)'!D36</f>
        <v>60</v>
      </c>
      <c r="E36" s="51"/>
    </row>
    <row r="37" spans="2:6" x14ac:dyDescent="0.35">
      <c r="B37" s="68" t="str">
        <f>VLOOKUP("Publicidade, Propaganda e RR.PP.",tabIdiomas[],MATCH('Hipóteses Xerais'!$D$2,tabIdiomas[#Headers]),FALSE)</f>
        <v>Publicidade, Propaganda e RR.PP.</v>
      </c>
      <c r="C37" s="82"/>
      <c r="D37" s="85"/>
      <c r="E37" s="51"/>
    </row>
    <row r="38" spans="2:6" x14ac:dyDescent="0.35">
      <c r="B38" s="69" t="str">
        <f>VLOOKUP("Material e Actividades Publicitarias",tabIdiomas[],MATCH('Hipóteses Xerais'!$D$2,tabIdiomas[#Headers]),FALSE)</f>
        <v>Material e Actividades Publicitarias</v>
      </c>
      <c r="C38" s="299">
        <f>'Expenses Hipotheses (INTRO)'!C38</f>
        <v>0</v>
      </c>
      <c r="D38" s="290">
        <f>'Expenses Hipotheses (INTRO)'!D38</f>
        <v>0</v>
      </c>
      <c r="E38" s="54"/>
    </row>
    <row r="39" spans="2:6" x14ac:dyDescent="0.35">
      <c r="B39" s="69" t="str">
        <f>VLOOKUP("Actividades de Promoción",tabIdiomas[],MATCH('Hipóteses Xerais'!$D$2,tabIdiomas[#Headers]),FALSE)</f>
        <v>Actividades de Promoción</v>
      </c>
      <c r="C39" s="299">
        <f>'Expenses Hipotheses (INTRO)'!C39</f>
        <v>0</v>
      </c>
      <c r="D39" s="290">
        <f>'Expenses Hipotheses (INTRO)'!D39</f>
        <v>0</v>
      </c>
      <c r="E39" s="54"/>
    </row>
    <row r="40" spans="2:6" ht="15" thickBot="1" x14ac:dyDescent="0.4">
      <c r="B40" s="69" t="str">
        <f>VLOOKUP("Relacións Públicas",tabIdiomas[],MATCH('Hipóteses Xerais'!$D$2,tabIdiomas[#Headers]),FALSE)</f>
        <v>Relacións Públicas</v>
      </c>
      <c r="C40" s="299">
        <f>'Expenses Hipotheses (INTRO)'!C40</f>
        <v>0</v>
      </c>
      <c r="D40" s="290">
        <f>'Expenses Hipotheses (INTRO)'!D40</f>
        <v>0</v>
      </c>
      <c r="E40" s="54"/>
    </row>
    <row r="41" spans="2:6" ht="15.5" thickTop="1" thickBot="1" x14ac:dyDescent="0.4">
      <c r="B41" s="68" t="str">
        <f>VLOOKUP("Subministros",tabIdiomas[],MATCH('Hipóteses Xerais'!$D$2,tabIdiomas[#Headers]),FALSE)</f>
        <v>Subministros</v>
      </c>
      <c r="C41" s="82"/>
      <c r="D41" s="85"/>
      <c r="E41" s="51"/>
      <c r="F41" s="106" t="str">
        <f>VLOOKUP("Necesidade de Conexión a Internet, Propia (Si/Non)",tabIdiomas[],MATCH('Hipóteses Xerais'!$D$2,tabIdiomas[#Headers]),FALSE)</f>
        <v>Necesidade de Conexión a Internet, Propia (Si/Non)</v>
      </c>
    </row>
    <row r="42" spans="2:6" ht="15" thickBot="1" x14ac:dyDescent="0.4">
      <c r="B42" s="69" t="str">
        <f>VLOOKUP("Telefonía Fixa e/ou Móbil",tabIdiomas[],MATCH('Hipóteses Xerais'!$D$2,tabIdiomas[#Headers]),FALSE)</f>
        <v>Telefonía Fixa e/ou Móbil</v>
      </c>
      <c r="C42" s="300">
        <f>'Expenses Hipotheses (INTRO)'!C42</f>
        <v>0</v>
      </c>
      <c r="D42" s="290">
        <f>'Expenses Hipotheses (INTRO)'!D42</f>
        <v>30</v>
      </c>
      <c r="E42" s="54"/>
      <c r="F42" s="312" t="str">
        <f>INDEX(tabRespPreg15101314169[Respuestas Pregunta],MATCH('Expenses Hipotheses (INTRO)'!F42,tabRespPreg15101314169[Opciones mostradas],0),1)</f>
        <v>Si</v>
      </c>
    </row>
    <row r="43" spans="2:6" ht="15" thickTop="1" x14ac:dyDescent="0.35">
      <c r="B43" s="69" t="str">
        <f>VLOOKUP("Conexión a Internet",tabIdiomas[],MATCH('Hipóteses Xerais'!$D$2,tabIdiomas[#Headers]),FALSE)</f>
        <v>Conexión a Internet</v>
      </c>
      <c r="C43" s="300">
        <f>'Expenses Hipotheses (INTRO)'!C43</f>
        <v>12</v>
      </c>
      <c r="D43" s="290">
        <f>'Expenses Hipotheses (INTRO)'!D43</f>
        <v>30</v>
      </c>
      <c r="E43" s="54"/>
    </row>
    <row r="44" spans="2:6" x14ac:dyDescent="0.35">
      <c r="B44" s="69" t="str">
        <f>VLOOKUP("Subministro de Electricidade (Termo de Potencia)",tabIdiomas[],MATCH('Hipóteses Xerais'!$D$2,tabIdiomas[#Headers]),FALSE)</f>
        <v>Subministro de Electricidade (Termo de Potencia)</v>
      </c>
      <c r="C44" s="300">
        <f>'Expenses Hipotheses (INTRO)'!C44</f>
        <v>12</v>
      </c>
      <c r="D44" s="290">
        <f>'Expenses Hipotheses (INTRO)'!D44</f>
        <v>12.87</v>
      </c>
      <c r="E44" s="54"/>
    </row>
    <row r="45" spans="2:6" x14ac:dyDescent="0.35">
      <c r="B45" s="69" t="str">
        <f>VLOOKUP("Subministro de Electricidade (Termo de Enerxía e Outros)",tabIdiomas[],MATCH('Hipóteses Xerais'!$D$2,tabIdiomas[#Headers]),FALSE)</f>
        <v>Subministro de Electricidade (Termo de Enerxía e Outros)</v>
      </c>
      <c r="C45" s="300">
        <f>'Expenses Hipotheses (INTRO)'!C45</f>
        <v>12</v>
      </c>
      <c r="D45" s="290">
        <f>'Expenses Hipotheses (INTRO)'!D45</f>
        <v>13</v>
      </c>
      <c r="E45" s="54"/>
    </row>
    <row r="46" spans="2:6" ht="15" thickBot="1" x14ac:dyDescent="0.4">
      <c r="B46" s="72" t="str">
        <f>VLOOKUP("Subministro de Auga Corrente",tabIdiomas[],MATCH('Hipóteses Xerais'!$D$2,tabIdiomas[#Headers]),FALSE)</f>
        <v>Subministro de Auga Corrente</v>
      </c>
      <c r="C46" s="301">
        <f>'Expenses Hipotheses (INTRO)'!C46</f>
        <v>0</v>
      </c>
      <c r="D46" s="291">
        <f>'Expenses Hipotheses (INTRO)'!D46</f>
        <v>25</v>
      </c>
      <c r="E46" s="54"/>
    </row>
    <row r="47" spans="2:6" ht="15.5" thickTop="1" thickBot="1" x14ac:dyDescent="0.4">
      <c r="E47" s="58"/>
    </row>
    <row r="48" spans="2:6" ht="15" thickTop="1" x14ac:dyDescent="0.35">
      <c r="B48" s="73" t="str">
        <f>VLOOKUP("Desglose de Gastos en Asesoramento e Xestoría (Outros Servizos)",tabIdiomas[],MATCH('Hipóteses Xerais'!$D$2,tabIdiomas[#Headers]),FALSE)</f>
        <v>Desglose de Gastos en Asesoramento e Xestoría (Outros Servizos)</v>
      </c>
      <c r="C48" s="74" t="str">
        <f>VLOOKUP("Imp. Mens. Por Socio (€)",tabIdiomas[],MATCH('Hipóteses Xerais'!$D$2,tabIdiomas[#Headers]),FALSE)</f>
        <v>Imp. Mens. Por Socio (€)</v>
      </c>
      <c r="D48" s="75" t="str">
        <f>VLOOKUP("Importe Mensual (€)",tabIdiomas[],MATCH('Hipóteses Xerais'!$D$2,tabIdiomas[#Headers]),FALSE)</f>
        <v>Importe Mensual (€)</v>
      </c>
      <c r="E48" s="54"/>
    </row>
    <row r="49" spans="2:8" x14ac:dyDescent="0.35">
      <c r="B49" s="76" t="str">
        <f>VLOOKUP("Xestión da Entidade (Ata 25 Socios)",tabIdiomas[],MATCH('Hipóteses Xerais'!$D$2,tabIdiomas[#Headers]),FALSE)</f>
        <v>Xestión da Entidade (Ata 25 Socios)</v>
      </c>
      <c r="C49" s="99"/>
      <c r="D49" s="303">
        <f>'Expenses Hipotheses (INTRO)'!D49</f>
        <v>60</v>
      </c>
      <c r="E49" s="54"/>
      <c r="F49" s="13"/>
    </row>
    <row r="50" spans="2:8" x14ac:dyDescent="0.35">
      <c r="B50" s="76" t="str">
        <f>VLOOKUP("Monitoring Socios",tabIdiomas[],MATCH('Hipóteses Xerais'!$D$2,tabIdiomas[#Headers]),FALSE)</f>
        <v>Monitoring Socios</v>
      </c>
      <c r="C50" s="302">
        <f>'Expenses Hipotheses (INTRO)'!C50</f>
        <v>1.5</v>
      </c>
      <c r="D50" s="101"/>
      <c r="E50" s="59"/>
      <c r="F50" s="64"/>
      <c r="G50" s="65"/>
      <c r="H50" s="65"/>
    </row>
    <row r="51" spans="2:8" ht="15" thickBot="1" x14ac:dyDescent="0.4">
      <c r="B51" s="79" t="str">
        <f>VLOOKUP("Asesoramento Contable, Fiscal e Outros",tabIdiomas[],MATCH('Hipóteses Xerais'!$D$2,tabIdiomas[#Headers]),FALSE)</f>
        <v>Asesoramento Contable, Fiscal e Outros</v>
      </c>
      <c r="C51" s="100"/>
      <c r="D51" s="304">
        <f>'Expenses Hipotheses (INTRO)'!D51</f>
        <v>30</v>
      </c>
      <c r="E51" s="12"/>
    </row>
    <row r="52" spans="2:8" ht="15.5" thickTop="1" thickBot="1" x14ac:dyDescent="0.4">
      <c r="B52" s="13"/>
      <c r="E52" s="12"/>
    </row>
    <row r="53" spans="2:8" ht="27" thickTop="1" thickBot="1" x14ac:dyDescent="0.4">
      <c r="B53" s="107" t="str">
        <f>VLOOKUP("Aplicabilidade do Epígrafe de Gasto 'Gastos Xerais Non Incluídos en Epígrafes Previos' (Mín. Outros Servizos = 5% s/ Cifra de Negocios)",tabIdiomas[],MATCH('Hipóteses Xerais'!$D$2,tabIdiomas[#Headers]),FALSE)</f>
        <v>Aplicabilidade do Epígrafe de Gasto 'Gastos Xerais Non Incluídos en Epígrafes Previos' (Mín. Outros Servizos = 5% s/ Cifra de Negocios)</v>
      </c>
      <c r="E53" s="12"/>
    </row>
    <row r="54" spans="2:8" ht="15" thickBot="1" x14ac:dyDescent="0.4">
      <c r="B54" s="312" t="str">
        <f>INDEX(tabRespPreg15101314161117[Respuestas Pregunta],MATCH('Expenses Hipotheses (INTRO)'!B54,tabRespPreg15101314161117[Opciones mostradas],0),1)</f>
        <v>Non</v>
      </c>
      <c r="E54" s="12"/>
      <c r="F54" s="63"/>
      <c r="G54" s="63"/>
      <c r="H54" s="11"/>
    </row>
    <row r="55" spans="2:8" ht="15.5" thickTop="1" thickBot="1" x14ac:dyDescent="0.4">
      <c r="B55" s="14"/>
      <c r="E55" s="12"/>
      <c r="F55" s="63"/>
      <c r="G55" s="63"/>
      <c r="H55" s="11"/>
    </row>
    <row r="56" spans="2:8" ht="15.5" thickTop="1" thickBot="1" x14ac:dyDescent="0.4">
      <c r="B56" s="107" t="str">
        <f>VLOOKUP("Amortización Considerada Como Custo (Si/Non)",tabIdiomas[],MATCH('Hipóteses Xerais'!$D$2,tabIdiomas[#Headers]),FALSE)</f>
        <v>Amortización Considerada Como Custo (Si/Non)</v>
      </c>
      <c r="E56" s="12"/>
      <c r="F56" s="63"/>
      <c r="G56" s="63"/>
      <c r="H56" s="11"/>
    </row>
    <row r="57" spans="2:8" ht="15" thickBot="1" x14ac:dyDescent="0.4">
      <c r="B57" s="312" t="str">
        <f>INDEX(tabRespPreg1510131416111718[Respuestas Pregunta],MATCH('Expenses Hipotheses (INTRO)'!B57,tabRespPreg1510131416111718[Opciones mostradas],0),1)</f>
        <v>Non</v>
      </c>
      <c r="E57" s="12"/>
      <c r="F57" s="63"/>
      <c r="G57" s="63"/>
      <c r="H57" s="11"/>
    </row>
    <row r="58" spans="2:8" ht="15" thickTop="1" x14ac:dyDescent="0.35">
      <c r="B58" s="13"/>
      <c r="E58" s="12"/>
    </row>
    <row r="59" spans="2:8" s="10" customFormat="1" ht="26.5" thickBot="1" x14ac:dyDescent="0.4">
      <c r="B59" s="180" t="str">
        <f>VLOOKUP("Garantías, Taxas Autonómicas, Municipais e Outras Obrigas Tributarias",tabIdiomas[],MATCH('Hipóteses Xerais'!$D$2,tabIdiomas[#Headers]),FALSE)</f>
        <v>Garantías, Taxas Autonómicas, Municipais e Outras Obrigas Tributarias</v>
      </c>
      <c r="C59" s="154" t="str">
        <f>VLOOKUP("Base Impoñible",tabIdiomas[],MATCH('Hipóteses Xerais'!$D$2,tabIdiomas[#Headers]),FALSE)</f>
        <v>Base Impoñible</v>
      </c>
      <c r="D59" s="154" t="str">
        <f>VLOOKUP("Tipo de Gravame",tabIdiomas[],MATCH('Hipóteses Xerais'!$D$2,tabIdiomas[#Headers]),FALSE)</f>
        <v>Tipo de Gravame</v>
      </c>
      <c r="E59" s="154" t="str">
        <f>VLOOKUP("Cota Tributaria Íntegra",tabIdiomas[],MATCH('Hipóteses Xerais'!$D$2,tabIdiomas[#Headers]),FALSE)</f>
        <v>Cota Tributaria Íntegra</v>
      </c>
      <c r="F59" s="154" t="str">
        <f>VLOOKUP("Deduc. Ou Bonif. sobre a Cota",tabIdiomas[],MATCH('Hipóteses Xerais'!$D$2,tabIdiomas[#Headers]),FALSE)</f>
        <v>Deduc. Ou Bonif. sobre a Cota</v>
      </c>
      <c r="G59" s="168" t="str">
        <f>VLOOKUP("Aplicabilidade",tabIdiomas[],MATCH('Hipóteses Xerais'!$D$2,tabIdiomas[#Headers]),FALSE)</f>
        <v>Aplicabilidade</v>
      </c>
      <c r="H59" s="169"/>
    </row>
    <row r="60" spans="2:8" ht="29" x14ac:dyDescent="0.35">
      <c r="B60" s="158" t="str">
        <f>VLOOKUP("Garantía Económica para Tramitación da Solicitude de Acceso e Conexión á Rede (40€/KW)",tabIdiomas[],MATCH('Hipóteses Xerais'!$D$2,tabIdiomas[#Headers]),FALSE)</f>
        <v>Garantía Económica para Tramitación da Solicitude de Acceso e Conexión á Rede (40€/KW)</v>
      </c>
      <c r="C60" s="163"/>
      <c r="D60" s="305">
        <f>'Expenses Hipotheses (INTRO)'!D60</f>
        <v>40</v>
      </c>
      <c r="E60" s="164"/>
      <c r="F60" s="309">
        <f>'Expenses Hipotheses (INTRO)'!F60</f>
        <v>0</v>
      </c>
      <c r="G60" s="313" t="str">
        <f>INDEX(tabRespPreg151013141611171819[Respuestas Pregunta],MATCH('Expenses Hipotheses (INTRO)'!G60,tabRespPreg151013141611171819[Opciones mostradas],0),1)</f>
        <v>Non</v>
      </c>
      <c r="H60" s="170"/>
    </row>
    <row r="61" spans="2:8" ht="29" x14ac:dyDescent="0.35">
      <c r="B61" s="157" t="str">
        <f>VLOOKUP("Taxa Autonómica por Inscrición en Rexistros Oficiais -Primeira Inscrición- (30.02.00 Anexo 1)",tabIdiomas[],MATCH('Hipóteses Xerais'!$D$2,tabIdiomas[#Headers]),FALSE)</f>
        <v>Taxa Autonómica por Inscrición en Rexistros Oficiais -Primeira Inscrición- (30.02.00 Anexo 1)</v>
      </c>
      <c r="C61" s="161"/>
      <c r="D61" s="161"/>
      <c r="E61" s="306">
        <f>'Expenses Hipotheses (INTRO)'!E61</f>
        <v>10.47</v>
      </c>
      <c r="F61" s="306">
        <f>'Expenses Hipotheses (INTRO)'!F61</f>
        <v>0</v>
      </c>
      <c r="G61" s="314" t="str">
        <f>INDEX(tabRespPreg15101314161117181921[Respuestas Pregunta],MATCH('Expenses Hipotheses (INTRO)'!G61,tabRespPreg15101314161117181921[Opciones mostradas],0),1)</f>
        <v>Si</v>
      </c>
      <c r="H61" s="170"/>
    </row>
    <row r="62" spans="2:8" ht="29" hidden="1" x14ac:dyDescent="0.35">
      <c r="B62" s="155" t="s">
        <v>13</v>
      </c>
      <c r="C62" s="162"/>
      <c r="D62" s="162"/>
      <c r="E62" s="165">
        <v>2709.61</v>
      </c>
      <c r="F62" s="165">
        <v>0</v>
      </c>
      <c r="G62" s="172" t="s">
        <v>12</v>
      </c>
      <c r="H62" s="170"/>
    </row>
    <row r="63" spans="2:8" ht="29" hidden="1" x14ac:dyDescent="0.35">
      <c r="B63" s="155" t="s">
        <v>14</v>
      </c>
      <c r="C63" s="162"/>
      <c r="D63" s="162"/>
      <c r="E63" s="165">
        <f>IF('Hipóteses xerais (2)'!$C$17&gt;100,(90+('Hipóteses xerais (2)'!$C$17*0.05)),97.54)</f>
        <v>97.54</v>
      </c>
      <c r="F63" s="165">
        <v>0</v>
      </c>
      <c r="G63" s="172" t="s">
        <v>12</v>
      </c>
      <c r="H63" s="170"/>
    </row>
    <row r="64" spans="2:8" ht="29.5" hidden="1" thickBot="1" x14ac:dyDescent="0.4">
      <c r="B64" s="159" t="s">
        <v>15</v>
      </c>
      <c r="C64" s="160"/>
      <c r="D64" s="160"/>
      <c r="E64" s="167">
        <f>IF('Hipóteses xerais (2)'!$C$19&gt;60000,(191.25+(7.97*('Hipóteses xerais (2)'!$C$19-60000)/6000)),191.25)</f>
        <v>223.13</v>
      </c>
      <c r="F64" s="166">
        <v>0</v>
      </c>
      <c r="G64" s="173" t="s">
        <v>12</v>
      </c>
      <c r="H64" s="170"/>
    </row>
    <row r="65" spans="2:8" x14ac:dyDescent="0.35">
      <c r="B65" s="157" t="str">
        <f>VLOOKUP("Taxa por Licencia Urbanística (Municipal)",tabIdiomas[],MATCH('Hipóteses Xerais'!$D$2,tabIdiomas[#Headers]),FALSE)</f>
        <v>Taxa por Licencia Urbanística (Municipal)</v>
      </c>
      <c r="C65" s="213"/>
      <c r="D65" s="214"/>
      <c r="E65" s="307">
        <f>'Expenses Hipotheses (INTRO)'!E65</f>
        <v>0</v>
      </c>
      <c r="F65" s="306">
        <f>'Expenses Hipotheses (INTRO)'!F65</f>
        <v>0</v>
      </c>
      <c r="G65" s="315" t="str">
        <f>INDEX(tabRespPreg1510131416111718192122[Respuestas Pregunta],MATCH('Expenses Hipotheses (INTRO)'!G65,tabRespPreg1510131416111718192122[Opciones mostradas],0),1)</f>
        <v>Si</v>
      </c>
      <c r="H65" s="171"/>
    </row>
    <row r="66" spans="2:8" x14ac:dyDescent="0.35">
      <c r="B66" s="155" t="str">
        <f>VLOOKUP("Imposto sobre Construccións, Instalacións e Obras",tabIdiomas[],MATCH('Hipóteses Xerais'!$D$2,tabIdiomas[#Headers]),FALSE)</f>
        <v>Imposto sobre Construccións, Instalacións e Obras</v>
      </c>
      <c r="C66" s="215"/>
      <c r="D66" s="87"/>
      <c r="E66" s="308">
        <f>'Expenses Hipotheses (INTRO)'!E66</f>
        <v>0</v>
      </c>
      <c r="F66" s="310">
        <f>'Expenses Hipotheses (INTRO)'!F66</f>
        <v>0</v>
      </c>
      <c r="G66" s="316" t="str">
        <f>INDEX(tabRespPreg151013141611171819212223[Respuestas Pregunta],MATCH('Expenses Hipotheses (INTRO)'!G66,tabRespPreg151013141611171819212223[Opciones mostradas],0),1)</f>
        <v>Si</v>
      </c>
      <c r="H66" s="171"/>
    </row>
    <row r="67" spans="2:8" x14ac:dyDescent="0.35">
      <c r="B67" s="155" t="str">
        <f>VLOOKUP("Taxa por Obtención de Licencia de Actividade",tabIdiomas[],MATCH('Hipóteses Xerais'!$D$2,tabIdiomas[#Headers]),FALSE)</f>
        <v>Taxa por Obtención de Licencia de Actividade</v>
      </c>
      <c r="C67" s="215"/>
      <c r="D67" s="87"/>
      <c r="E67" s="308">
        <f>'Expenses Hipotheses (INTRO)'!E67</f>
        <v>0</v>
      </c>
      <c r="F67" s="310">
        <f>'Expenses Hipotheses (INTRO)'!F67</f>
        <v>0</v>
      </c>
      <c r="G67" s="316" t="str">
        <f>INDEX(tabRespPreg15101314161117181921222324[Respuestas Pregunta],MATCH('Expenses Hipotheses (INTRO)'!G67,tabRespPreg15101314161117181921222324[Opciones mostradas],0),1)</f>
        <v>Si</v>
      </c>
      <c r="H67" s="171"/>
    </row>
    <row r="68" spans="2:8" ht="15" thickBot="1" x14ac:dyDescent="0.4">
      <c r="B68" s="156" t="str">
        <f>VLOOKUP("Outras Obrigas Tributarias",tabIdiomas[],MATCH('Hipóteses Xerais'!$D$2,tabIdiomas[#Headers]),FALSE)</f>
        <v>Outras Obrigas Tributarias</v>
      </c>
      <c r="C68" s="216"/>
      <c r="D68" s="217"/>
      <c r="E68" s="289">
        <f>'Expenses Hipotheses (INTRO)'!E68</f>
        <v>0</v>
      </c>
      <c r="F68" s="311">
        <f>'Expenses Hipotheses (INTRO)'!F68</f>
        <v>0</v>
      </c>
      <c r="G68" s="317" t="str">
        <f>INDEX(tabRespPreg1510131416111718192122232425[Respuestas Pregunta],MATCH('Expenses Hipotheses (INTRO)'!G68,tabRespPreg1510131416111718192122232425[Opciones mostradas],0),1)</f>
        <v>Si</v>
      </c>
      <c r="H68" s="171"/>
    </row>
    <row r="69" spans="2:8" ht="15" thickTop="1" x14ac:dyDescent="0.35"/>
    <row r="70" spans="2:8" ht="15" thickBot="1" x14ac:dyDescent="0.4"/>
    <row r="71" spans="2:8" ht="15.5" thickTop="1" thickBot="1" x14ac:dyDescent="0.4">
      <c r="C71" s="73" t="str">
        <f>VLOOKUP("Unidades",tabIdiomas[],MATCH('Hipóteses Xerais'!$D$2,tabIdiomas[#Headers]),FALSE)</f>
        <v>Unidades</v>
      </c>
      <c r="D71" s="75" t="str">
        <f>VLOOKUP("Valor Unitario",tabIdiomas[],MATCH('Hipóteses Xerais'!$D$2,tabIdiomas[#Headers]),FALSE)</f>
        <v>Valor Unitario</v>
      </c>
    </row>
    <row r="72" spans="2:8" ht="15.5" thickTop="1" thickBot="1" x14ac:dyDescent="0.4">
      <c r="B72" s="151" t="str">
        <f>VLOOKUP("Outras Perdas en Xestión Corrente",tabIdiomas[],MATCH('Hipóteses Xerais'!$D$2,tabIdiomas[#Headers]),FALSE)</f>
        <v>Outras Perdas en Xestión Corrente</v>
      </c>
      <c r="C72" s="301">
        <f>'Expenses Hipotheses (INTRO)'!C72</f>
        <v>10</v>
      </c>
      <c r="D72" s="291">
        <f>'Expenses Hipotheses (INTRO)'!D72</f>
        <v>5</v>
      </c>
    </row>
    <row r="73" spans="2:8" ht="15" thickTop="1" x14ac:dyDescent="0.35"/>
    <row r="76" spans="2:8" x14ac:dyDescent="0.35">
      <c r="E76" s="150"/>
    </row>
    <row r="78" spans="2:8" x14ac:dyDescent="0.35">
      <c r="B78" s="152"/>
      <c r="C78" s="153"/>
    </row>
    <row r="88" spans="2:9" x14ac:dyDescent="0.35">
      <c r="B88" s="65"/>
      <c r="C88" s="174"/>
      <c r="D88" s="174"/>
      <c r="E88" s="175"/>
      <c r="F88" s="174"/>
      <c r="G88" s="65"/>
    </row>
    <row r="89" spans="2:9" x14ac:dyDescent="0.35">
      <c r="B89" s="176"/>
      <c r="C89" s="177"/>
      <c r="D89" s="177"/>
      <c r="E89" s="178"/>
      <c r="F89" s="178"/>
      <c r="G89" s="178"/>
      <c r="H89" s="177"/>
      <c r="I89" s="178"/>
    </row>
    <row r="91" spans="2:9" x14ac:dyDescent="0.35">
      <c r="B91" s="178"/>
      <c r="C91" s="178"/>
      <c r="D91" s="178"/>
      <c r="E91" s="178"/>
      <c r="F91" s="178"/>
      <c r="G91" s="178"/>
    </row>
    <row r="93" spans="2:9" x14ac:dyDescent="0.35">
      <c r="B93" s="95"/>
      <c r="G93" s="179"/>
    </row>
  </sheetData>
  <protectedRanges>
    <protectedRange sqref="C5:D10 C16:C18 D16 D18 F5 F17 D25 C27:D28 C30:D34 C35:C36 D36 C38:D40 C42:D46 F42 D49 C50 D51 B54 B57 D60 E61:E68 C64:D68 F60:G68 C72:D72" name="Gastos"/>
  </protectedRanges>
  <printOptions horizontalCentered="1" verticalCentered="1"/>
  <pageMargins left="0.70866141732283472" right="0.70866141732283472" top="0.15748031496062992" bottom="0.15748031496062992" header="0.31496062992125984" footer="0.31496062992125984"/>
  <pageSetup paperSize="9" scale="64" fitToHeight="0" orientation="landscape" horizontalDpi="1200" verticalDpi="12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5E2CC-849C-4DA7-BDC0-0914FBF68299}">
  <sheetPr>
    <tabColor theme="7" tint="0.79998168889431442"/>
  </sheetPr>
  <dimension ref="A1:G23"/>
  <sheetViews>
    <sheetView workbookViewId="0">
      <selection activeCell="A2" sqref="A2:C11"/>
    </sheetView>
  </sheetViews>
  <sheetFormatPr baseColWidth="10" defaultColWidth="11.54296875" defaultRowHeight="14.5" x14ac:dyDescent="0.35"/>
  <cols>
    <col min="1" max="1" width="57.81640625" bestFit="1" customWidth="1"/>
    <col min="2" max="2" width="13.81640625" bestFit="1" customWidth="1"/>
    <col min="3" max="3" width="35.453125" customWidth="1"/>
    <col min="5" max="5" width="48.1796875" customWidth="1"/>
  </cols>
  <sheetData>
    <row r="1" spans="1:7" ht="15" thickBot="1" x14ac:dyDescent="0.4"/>
    <row r="2" spans="1:7" ht="15" thickTop="1" x14ac:dyDescent="0.35">
      <c r="A2" s="332" t="str">
        <f>VLOOKUP("Concepto",tabIdiomas[],MATCH('General Hipotheses (INTRO)'!$D$2,tabIdiomas[#Headers]),FALSE)</f>
        <v>Concept</v>
      </c>
      <c r="B2" s="60" t="str">
        <f>VLOOKUP("Valor",tabIdiomas[],MATCH('General Hipotheses (INTRO)'!$D$2,tabIdiomas[#Headers]),FALSE)</f>
        <v>Value</v>
      </c>
      <c r="C2" s="107" t="str">
        <f>VLOOKUP("Unidade",tabIdiomas[],MATCH('General Hipotheses (INTRO)'!$D$2,tabIdiomas[#Headers]),FALSE)</f>
        <v>Unit</v>
      </c>
      <c r="E2" s="202" t="str">
        <f>VLOOKUP("Potencia Contratada por Cada Socio Individual",tabIdiomas[],MATCH('General Hipotheses (INTRO)'!$D$2,tabIdiomas[#Headers]),FALSE)</f>
        <v>Electricity Power Agreed by Each Individual Partner</v>
      </c>
      <c r="F2" s="203" t="str">
        <f>VLOOKUP("KW",tabIdiomas[],MATCH('General Hipotheses (INTRO)'!$D$2,tabIdiomas[#Headers]),FALSE)</f>
        <v>KW</v>
      </c>
    </row>
    <row r="3" spans="1:7" x14ac:dyDescent="0.35">
      <c r="A3" s="362" t="str">
        <f>VLOOKUP("Termo de Potencia (P1)",tabIdiomas[],MATCH('General Hipotheses (INTRO)'!$D$2,tabIdiomas[#Headers]),FALSE)</f>
        <v>Power Term (Peak Period, Period 1)</v>
      </c>
      <c r="B3" s="50">
        <v>0.1</v>
      </c>
      <c r="C3" s="366" t="str">
        <f>VLOOKUP("€/KW e día",tabIdiomas[],MATCH('General Hipotheses (INTRO)'!$D$2,tabIdiomas[#Headers]),FALSE)</f>
        <v>€/KW and Day</v>
      </c>
      <c r="E3" s="186" t="str">
        <f>VLOOKUP("Termo de Potencia (P1)",tabIdiomas[],MATCH('General Hipotheses (INTRO)'!$D$2,tabIdiomas[#Headers]),FALSE)</f>
        <v>Power Term (Peak Period, Period 1)</v>
      </c>
      <c r="F3" s="206">
        <v>3.3</v>
      </c>
    </row>
    <row r="4" spans="1:7" ht="15" thickBot="1" x14ac:dyDescent="0.4">
      <c r="A4" s="362" t="str">
        <f>VLOOKUP("Termo de Potencia (P2)",tabIdiomas[],MATCH('General Hipotheses (INTRO)'!$D$2,tabIdiomas[#Headers]),FALSE)</f>
        <v>Power Term (Valley Period, Period 2)</v>
      </c>
      <c r="B4" s="50">
        <v>0.03</v>
      </c>
      <c r="C4" s="366" t="str">
        <f>VLOOKUP("€/KW e día",tabIdiomas[],MATCH('General Hipotheses (INTRO)'!$D$2,tabIdiomas[#Headers]),FALSE)</f>
        <v>€/KW and Day</v>
      </c>
      <c r="E4" s="188" t="str">
        <f>VLOOKUP("Termo de Potencia (P2)",tabIdiomas[],MATCH('General Hipotheses (INTRO)'!$D$2,tabIdiomas[#Headers]),FALSE)</f>
        <v>Power Term (Valley Period, Period 2)</v>
      </c>
      <c r="F4" s="207">
        <v>3.3</v>
      </c>
    </row>
    <row r="5" spans="1:7" ht="15.5" thickTop="1" thickBot="1" x14ac:dyDescent="0.4">
      <c r="A5" s="363" t="str">
        <f>VLOOKUP("Financiación Bono Social",tabIdiomas[],MATCH('General Hipotheses (INTRO)'!$D$2,tabIdiomas[#Headers]),FALSE)</f>
        <v>Social Bonus Financing</v>
      </c>
      <c r="B5" s="183">
        <v>3.8455000000000003E-2</v>
      </c>
      <c r="C5" s="367" t="str">
        <f>VLOOKUP("€/día",tabIdiomas[],MATCH('General Hipotheses (INTRO)'!$D$2,tabIdiomas[#Headers]),FALSE)</f>
        <v>€/Day</v>
      </c>
    </row>
    <row r="6" spans="1:7" ht="15.5" thickTop="1" thickBot="1" x14ac:dyDescent="0.4">
      <c r="A6" s="364" t="str">
        <f>VLOOKUP("Imposto sobre a Electricidade (Tipo Habitual)",tabIdiomas[],MATCH('General Hipotheses (INTRO)'!$D$2,tabIdiomas[#Headers]),FALSE)</f>
        <v>Electricity Special Tax (Ordinary Tax Rate) (%)</v>
      </c>
      <c r="B6" s="195">
        <v>5.11269632E-2</v>
      </c>
      <c r="C6" s="368" t="str">
        <f>VLOOKUP("% s/ Suma Conceptos Previos",tabIdiomas[],MATCH('General Hipotheses (INTRO)'!$D$2,tabIdiomas[#Headers]),FALSE)</f>
        <v>% s/ Sum of Previous Concepts</v>
      </c>
      <c r="E6" s="218" t="str">
        <f>VLOOKUP("Imposto s/Electricidade Reducido? (Si / Non)",tabIdiomas[],MATCH('General Hipotheses (INTRO)'!$D$2,tabIdiomas[#Headers]),FALSE)</f>
        <v>Reduced Tax Rate for the Electricity Special Tax? (Yes / No)</v>
      </c>
      <c r="F6" s="200"/>
      <c r="G6" s="200"/>
    </row>
    <row r="7" spans="1:7" ht="15" thickBot="1" x14ac:dyDescent="0.4">
      <c r="A7" s="363" t="str">
        <f>VLOOKUP("Imposto sobre a Electricidade (Tipo Reducido Temporalmente)",tabIdiomas[],MATCH('General Hipotheses (INTRO)'!$D$2,tabIdiomas[#Headers]),FALSE)</f>
        <v>Electricity Special Tax (Temporary Reduced Tax Rate) (%)</v>
      </c>
      <c r="B7" s="196">
        <v>5.0000000000000001E-3</v>
      </c>
      <c r="C7" s="367" t="str">
        <f>VLOOKUP("% s/ Suma Conceptos Previos",tabIdiomas[],MATCH('General Hipotheses (INTRO)'!$D$2,tabIdiomas[#Headers]),FALSE)</f>
        <v>% s/ Sum of Previous Concepts</v>
      </c>
      <c r="E7" s="103" t="s">
        <v>7</v>
      </c>
    </row>
    <row r="8" spans="1:7" ht="15.5" thickTop="1" thickBot="1" x14ac:dyDescent="0.4">
      <c r="A8" s="365" t="str">
        <f>VLOOKUP("Aluguer do contador",tabIdiomas[],MATCH('General Hipotheses (INTRO)'!$D$2,tabIdiomas[#Headers]),FALSE)</f>
        <v>Electricity Meter Rental</v>
      </c>
      <c r="B8" s="192">
        <v>2.6786000000000001E-2</v>
      </c>
      <c r="C8" s="369" t="str">
        <f>VLOOKUP("€/día",tabIdiomas[],MATCH('General Hipotheses (INTRO)'!$D$2,tabIdiomas[#Headers]),FALSE)</f>
        <v>€/Day</v>
      </c>
    </row>
    <row r="9" spans="1:7" ht="29" x14ac:dyDescent="0.35">
      <c r="A9" s="157" t="str">
        <f>VLOOKUP("IVE (Tipo Habitual)",tabIdiomas[],MATCH('General Hipotheses (INTRO)'!$D$2,tabIdiomas[#Headers]),FALSE)</f>
        <v>VAT (Ordinary Tax Rate)</v>
      </c>
      <c r="B9" s="197">
        <v>0.21</v>
      </c>
      <c r="C9" s="191" t="str">
        <f>VLOOKUP("% s/ BI (Suma Conceptos Previos)",tabIdiomas[],MATCH('General Hipotheses (INTRO)'!$D$2,tabIdiomas[#Headers]),FALSE)</f>
        <v>% s/ Tax Base (Sum of Previous Concepts)</v>
      </c>
      <c r="E9" s="218" t="str">
        <f>VLOOKUP("IVE: Tipo Impositivo Aplicable (H / R / S)",tabIdiomas[],MATCH('General Hipotheses (INTRO)'!$D$2,tabIdiomas[#Headers]),FALSE)</f>
        <v>VAT Tax Rate</v>
      </c>
    </row>
    <row r="10" spans="1:7" ht="29.5" thickBot="1" x14ac:dyDescent="0.4">
      <c r="A10" s="155" t="str">
        <f>VLOOKUP("IVE (Tipo Reducido Electricidade)",tabIdiomas[],MATCH('General Hipotheses (INTRO)'!$D$2,tabIdiomas[#Headers]),FALSE)</f>
        <v>VAT (Reduced Electricity Tax Rate)</v>
      </c>
      <c r="B10" s="198">
        <v>0.1</v>
      </c>
      <c r="C10" s="187" t="str">
        <f>VLOOKUP("% s/ BI (Suma Conceptos Previos)",tabIdiomas[],MATCH('General Hipotheses (INTRO)'!$D$2,tabIdiomas[#Headers]),FALSE)</f>
        <v>% s/ Tax Base (Sum of Previous Concepts)</v>
      </c>
      <c r="E10" s="338" t="s">
        <v>589</v>
      </c>
    </row>
    <row r="11" spans="1:7" ht="30" thickTop="1" thickBot="1" x14ac:dyDescent="0.4">
      <c r="A11" s="156" t="str">
        <f>VLOOKUP("IVE (Tipo Super-Reducido Electr.)",tabIdiomas[],MATCH('General Hipotheses (INTRO)'!$D$2,tabIdiomas[#Headers]),FALSE)</f>
        <v>VAT (Extra-Reduced Electricity Tax Rate)</v>
      </c>
      <c r="B11" s="199">
        <v>0.05</v>
      </c>
      <c r="C11" s="189" t="str">
        <f>VLOOKUP("% s/ BI (Suma Conceptos Previos)",tabIdiomas[],MATCH('General Hipotheses (INTRO)'!$D$2,tabIdiomas[#Headers]),FALSE)</f>
        <v>% s/ Tax Base (Sum of Previous Concepts)</v>
      </c>
    </row>
    <row r="12" spans="1:7" ht="15" thickTop="1" x14ac:dyDescent="0.35"/>
    <row r="13" spans="1:7" x14ac:dyDescent="0.35">
      <c r="F13" s="201"/>
      <c r="G13" s="201"/>
    </row>
    <row r="14" spans="1:7" ht="15" hidden="1" thickTop="1" x14ac:dyDescent="0.35">
      <c r="A14" s="202" t="str">
        <f>VLOOKUP("Concepto",tabIdiomas[],MATCH('General Hipotheses (INTRO)'!$D$2,tabIdiomas[#Headers]),FALSE)</f>
        <v>Concept</v>
      </c>
      <c r="B14" s="203" t="s">
        <v>17</v>
      </c>
    </row>
    <row r="15" spans="1:7" hidden="1" x14ac:dyDescent="0.35">
      <c r="A15" s="186" t="str">
        <f>$A$9</f>
        <v>VAT (Ordinary Tax Rate)</v>
      </c>
      <c r="B15" s="204" t="s">
        <v>18</v>
      </c>
    </row>
    <row r="16" spans="1:7" hidden="1" x14ac:dyDescent="0.35">
      <c r="A16" s="186" t="str">
        <f>$A$10</f>
        <v>VAT (Reduced Electricity Tax Rate)</v>
      </c>
      <c r="B16" s="204" t="s">
        <v>19</v>
      </c>
    </row>
    <row r="17" spans="1:2" ht="15" hidden="1" thickBot="1" x14ac:dyDescent="0.4">
      <c r="A17" s="188" t="str">
        <f>$A$11</f>
        <v>VAT (Extra-Reduced Electricity Tax Rate)</v>
      </c>
      <c r="B17" s="205" t="s">
        <v>20</v>
      </c>
    </row>
    <row r="19" spans="1:2" ht="15" thickBot="1" x14ac:dyDescent="0.4"/>
    <row r="20" spans="1:2" ht="26.5" thickTop="1" x14ac:dyDescent="0.35">
      <c r="A20" s="370" t="str">
        <f>VLOOKUP("Hipóteses Participación Heteroxénea (Distrib. Aleatoria dos Consumos)",tabIdiomas[],MATCH('General Hipotheses (INTRO)'!$D$2,tabIdiomas[#Headers]),FALSE)</f>
        <v>Heterogeneous Participation Hypotheses (Partners' Consumptions Randomly Distributed)</v>
      </c>
      <c r="B20" s="203"/>
    </row>
    <row r="21" spans="1:2" ht="29" x14ac:dyDescent="0.35">
      <c r="A21" s="155" t="str">
        <f>VLOOKUP("Consumo Mensual Máximo de Cada Socio Individual (KWh)",tabIdiomas[],MATCH('General Hipotheses (INTRO)'!$D$2,tabIdiomas[#Headers]),FALSE)</f>
        <v>Maximum Monthly Electricity Consumption for Each Indiv. Partner (KWh)</v>
      </c>
      <c r="B21" s="206">
        <v>525</v>
      </c>
    </row>
    <row r="22" spans="1:2" ht="29.5" thickBot="1" x14ac:dyDescent="0.4">
      <c r="A22" s="156" t="str">
        <f>VLOOKUP("Consumo Mensual Mínimo de Cada Socio Individual (KWh)",tabIdiomas[],MATCH('General Hipotheses (INTRO)'!$D$2,tabIdiomas[#Headers]),FALSE)</f>
        <v>Minimum Monthly Electricity Consumption for Each Indiv. Partner (KWh)</v>
      </c>
      <c r="B22" s="207">
        <v>75</v>
      </c>
    </row>
    <row r="23" spans="1:2" ht="15" thickTop="1" x14ac:dyDescent="0.35"/>
  </sheetData>
  <sheetProtection algorithmName="SHA-512" hashValue="9/eyGJyDQHhIJ53e6+zol+OBMIwFVPe0YWKlzWM3zUyEpdt41VZ4/olR8A6Z6eFMdsRsfAY65j+7Ts11ZrebkQ==" saltValue="Xha7gGqKISCB7Affn0d5kA==" spinCount="100000" sheet="1" objects="1" scenarios="1"/>
  <protectedRanges>
    <protectedRange sqref="B3:B11 E7 E10 B21:B22 F3:F4" name="Custos Factura Eléctrica"/>
  </protectedRanges>
  <dataValidations count="5">
    <dataValidation type="list" allowBlank="1" showDropDown="1" showInputMessage="1" showErrorMessage="1" sqref="B15" xr:uid="{58A9D955-3F92-475B-A667-EA1753850AFC}">
      <formula1>"H"</formula1>
    </dataValidation>
    <dataValidation type="list" allowBlank="1" showDropDown="1" showInputMessage="1" showErrorMessage="1" sqref="B16" xr:uid="{112EF271-9272-4247-AC41-6A745C1D47EF}">
      <formula1>"R"</formula1>
    </dataValidation>
    <dataValidation type="list" allowBlank="1" showDropDown="1" showInputMessage="1" showErrorMessage="1" sqref="B17" xr:uid="{A1E20429-7577-4830-BD5F-E6CA8033665B}">
      <formula1>"S"</formula1>
    </dataValidation>
    <dataValidation type="decimal" operator="greaterThanOrEqual" allowBlank="1" showInputMessage="1" showErrorMessage="1" sqref="F3:F4 B3:B5 B8 B21:B22" xr:uid="{46EC0D89-6033-4EA0-8B26-6F61A0756F8C}">
      <formula1>0</formula1>
    </dataValidation>
    <dataValidation type="decimal" allowBlank="1" showInputMessage="1" showErrorMessage="1" sqref="B6:B7 B9:B11" xr:uid="{07243420-65DF-46BE-8651-F51FEFBE2063}">
      <formula1>0</formula1>
      <formula2>1</formula2>
    </dataValidation>
  </dataValidations>
  <printOptions horizontalCentered="1"/>
  <pageMargins left="0.70866141732283472" right="0.70866141732283472" top="0.74803149606299213" bottom="0.74803149606299213" header="0.31496062992125984" footer="0.31496062992125984"/>
  <pageSetup paperSize="9" orientation="landscape"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0F387DE4-7918-48B0-AFA6-D2FF6719E875}">
          <x14:formula1>
            <xm:f>'Cuestións e Respostas'!$AZ$3:$AZ$5</xm:f>
          </x14:formula1>
          <xm:sqref>E10</xm:sqref>
        </x14:dataValidation>
        <x14:dataValidation type="list" allowBlank="1" showInputMessage="1" showErrorMessage="1" xr:uid="{46F0958B-5543-4BFF-97E8-1AA1A74EB972}">
          <x14:formula1>
            <xm:f>'Cuestións e Respostas'!$AX$3:$AX$4</xm:f>
          </x14:formula1>
          <xm:sqref>E7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1727F-246B-49B0-B7EB-59D73A7E7BD7}">
  <sheetPr>
    <tabColor theme="9" tint="0.39997558519241921"/>
  </sheetPr>
  <dimension ref="A2:G22"/>
  <sheetViews>
    <sheetView workbookViewId="0">
      <selection activeCell="E13" sqref="E13"/>
    </sheetView>
  </sheetViews>
  <sheetFormatPr baseColWidth="10" defaultColWidth="11.54296875" defaultRowHeight="14.5" x14ac:dyDescent="0.35"/>
  <cols>
    <col min="1" max="1" width="57.81640625" bestFit="1" customWidth="1"/>
    <col min="2" max="2" width="13.81640625" bestFit="1" customWidth="1"/>
    <col min="3" max="3" width="35.453125" customWidth="1"/>
    <col min="4" max="4" width="11.54296875" bestFit="1" customWidth="1"/>
    <col min="5" max="5" width="48.1796875" customWidth="1"/>
  </cols>
  <sheetData>
    <row r="2" spans="1:7" x14ac:dyDescent="0.35">
      <c r="A2" s="60" t="str">
        <f>VLOOKUP("Concepto",tabIdiomas[],MATCH('Hipóteses Xerais'!$D$2,tabIdiomas[#Headers]),FALSE)</f>
        <v>Concepto</v>
      </c>
      <c r="B2" s="60" t="str">
        <f>VLOOKUP("Valor",tabIdiomas[],MATCH('Hipóteses Xerais'!$D$2,tabIdiomas[#Headers]),FALSE)</f>
        <v>Valor</v>
      </c>
      <c r="C2" s="106" t="str">
        <f>VLOOKUP("Unidade",tabIdiomas[],MATCH('Hipóteses Xerais'!$D$2,tabIdiomas[#Headers]),FALSE)</f>
        <v>Unidade</v>
      </c>
      <c r="E2" s="202" t="str">
        <f>VLOOKUP("Potencia Contratada por Cada Socio Individual",tabIdiomas[],MATCH('Hipóteses Xerais'!$D$2,tabIdiomas[#Headers]),FALSE)</f>
        <v>Potencia Contratada por Cada Socio Individual</v>
      </c>
      <c r="F2" s="203" t="str">
        <f>VLOOKUP("KW",tabIdiomas[],MATCH('Hipóteses Xerais'!$D$2,tabIdiomas[#Headers]),FALSE)</f>
        <v>KW</v>
      </c>
    </row>
    <row r="3" spans="1:7" x14ac:dyDescent="0.35">
      <c r="A3" s="242" t="str">
        <f>VLOOKUP("Termo de Potencia (P1)",tabIdiomas[],MATCH('Hipóteses Xerais'!$D$2,tabIdiomas[#Headers]),FALSE)</f>
        <v>Termo de Potencia (P1)</v>
      </c>
      <c r="B3" s="284">
        <f>'Electric Invoice Costs (INTRO)'!B3</f>
        <v>0.1</v>
      </c>
      <c r="C3" s="182" t="str">
        <f>VLOOKUP("€/KW e día",tabIdiomas[],MATCH('Hipóteses Xerais'!$D$2,tabIdiomas[#Headers]),FALSE)</f>
        <v>€/KW e día</v>
      </c>
      <c r="E3" s="186" t="str">
        <f>VLOOKUP("Termo de Potencia (P1)",tabIdiomas[],MATCH('Hipóteses Xerais'!$D$2,tabIdiomas[#Headers]),FALSE)</f>
        <v>Termo de Potencia (P1)</v>
      </c>
      <c r="F3" s="325">
        <f>'Electric Invoice Costs (INTRO)'!F3</f>
        <v>3.3</v>
      </c>
    </row>
    <row r="4" spans="1:7" x14ac:dyDescent="0.35">
      <c r="A4" s="242" t="str">
        <f>VLOOKUP("Termo de Potencia (P2)",tabIdiomas[],MATCH('Hipóteses Xerais'!$D$2,tabIdiomas[#Headers]),FALSE)</f>
        <v>Termo de Potencia (P2)</v>
      </c>
      <c r="B4" s="284">
        <f>'Electric Invoice Costs (INTRO)'!B4</f>
        <v>0.03</v>
      </c>
      <c r="C4" s="182" t="str">
        <f>VLOOKUP("€/KW e día",tabIdiomas[],MATCH('Hipóteses Xerais'!$D$2,tabIdiomas[#Headers]),FALSE)</f>
        <v>€/KW e día</v>
      </c>
      <c r="E4" s="188" t="str">
        <f>VLOOKUP("Termo de Potencia (P2)",tabIdiomas[],MATCH('Hipóteses Xerais'!$D$2,tabIdiomas[#Headers]),FALSE)</f>
        <v>Termo de Potencia (P2)</v>
      </c>
      <c r="F4" s="326">
        <f>'Electric Invoice Costs (INTRO)'!F4</f>
        <v>3.3</v>
      </c>
    </row>
    <row r="5" spans="1:7" x14ac:dyDescent="0.35">
      <c r="A5" s="243" t="str">
        <f>VLOOKUP("Financiación Bono Social",tabIdiomas[],MATCH('Hipóteses Xerais'!$D$2,tabIdiomas[#Headers]),FALSE)</f>
        <v>Financiación Bono Social</v>
      </c>
      <c r="B5" s="318">
        <f>'Electric Invoice Costs (INTRO)'!B5</f>
        <v>3.8455000000000003E-2</v>
      </c>
      <c r="C5" s="184" t="str">
        <f>VLOOKUP("€/día",tabIdiomas[],MATCH('Hipóteses Xerais'!$D$2,tabIdiomas[#Headers]),FALSE)</f>
        <v>€/día</v>
      </c>
    </row>
    <row r="6" spans="1:7" x14ac:dyDescent="0.35">
      <c r="A6" s="244" t="str">
        <f>VLOOKUP("Imposto sobre a Electricidade (Tipo Habitual)",tabIdiomas[],MATCH('Hipóteses Xerais'!$D$2,tabIdiomas[#Headers]),FALSE)</f>
        <v>Imposto sobre a Electricidade (Tipo Habitual)</v>
      </c>
      <c r="B6" s="319">
        <f>'Electric Invoice Costs (INTRO)'!B6</f>
        <v>5.11269632E-2</v>
      </c>
      <c r="C6" s="185" t="str">
        <f>VLOOKUP("% s/ Suma Conceptos Previos",tabIdiomas[],MATCH('Hipóteses Xerais'!$D$2,tabIdiomas[#Headers]),FALSE)</f>
        <v>% s/ Suma Conceptos Previos</v>
      </c>
      <c r="E6" s="102" t="str">
        <f>VLOOKUP("Imposto s/Electricidade Reducido? (Si / Non)",tabIdiomas[],MATCH('Hipóteses Xerais'!$D$2,tabIdiomas[#Headers]),FALSE)</f>
        <v>Imposto s/Electricidade Reducido? (Si / Non)</v>
      </c>
      <c r="F6" s="200"/>
      <c r="G6" s="200"/>
    </row>
    <row r="7" spans="1:7" x14ac:dyDescent="0.35">
      <c r="A7" s="243" t="str">
        <f>VLOOKUP("Imposto sobre a Electricidade (Tipo Reducido Temporalmente)",tabIdiomas[],MATCH('Hipóteses Xerais'!$D$2,tabIdiomas[#Headers]),FALSE)</f>
        <v>Imposto sobre a Electricidade (Tipo Reducido Temporalmente)</v>
      </c>
      <c r="B7" s="320">
        <f>'Electric Invoice Costs (INTRO)'!B7</f>
        <v>5.0000000000000001E-3</v>
      </c>
      <c r="C7" s="184" t="str">
        <f>VLOOKUP("% s/ Suma Conceptos Previos",tabIdiomas[],MATCH('Hipóteses Xerais'!$D$2,tabIdiomas[#Headers]),FALSE)</f>
        <v>% s/ Suma Conceptos Previos</v>
      </c>
      <c r="E7" s="373" t="str">
        <f>INDEX(tabRespPreg151013141611171819212223242528[Respuestas Pregunta],MATCH('Electric Invoice Costs (INTRO)'!E7,tabRespPreg151013141611171819212223242528[Opciones mostradas],0),1)</f>
        <v>Si</v>
      </c>
    </row>
    <row r="8" spans="1:7" x14ac:dyDescent="0.35">
      <c r="A8" s="193" t="str">
        <f>VLOOKUP("Aluguer do contador",tabIdiomas[],MATCH('Hipóteses Xerais'!$D$2,tabIdiomas[#Headers]),FALSE)</f>
        <v>Aluguer do contador</v>
      </c>
      <c r="B8" s="321">
        <f>'Electric Invoice Costs (INTRO)'!B8</f>
        <v>2.6786000000000001E-2</v>
      </c>
      <c r="C8" s="194" t="str">
        <f>VLOOKUP("€/día",tabIdiomas[],MATCH('Hipóteses Xerais'!$D$2,tabIdiomas[#Headers]),FALSE)</f>
        <v>€/día</v>
      </c>
    </row>
    <row r="9" spans="1:7" x14ac:dyDescent="0.35">
      <c r="A9" s="190" t="str">
        <f>VLOOKUP("IVE (Tipo Habitual)",tabIdiomas[],MATCH('Hipóteses Xerais'!$D$2,tabIdiomas[#Headers]),FALSE)</f>
        <v>IVE (Tipo Habitual)</v>
      </c>
      <c r="B9" s="322">
        <f>'Electric Invoice Costs (INTRO)'!B9</f>
        <v>0.21</v>
      </c>
      <c r="C9" s="191" t="str">
        <f>VLOOKUP("% s/ BI (Suma Conceptos Previos)",tabIdiomas[],MATCH('Hipóteses Xerais'!$D$2,tabIdiomas[#Headers]),FALSE)</f>
        <v>% s/ BI (Suma Conceptos Previos)</v>
      </c>
      <c r="E9" s="102" t="str">
        <f>VLOOKUP("IVE: Tipo Impositivo Aplicable (H / R / S)",tabIdiomas[],MATCH('Hipóteses Xerais'!$D$2,tabIdiomas[#Headers]),FALSE)</f>
        <v>IVE: Tipo Impositivo Aplicable (H / R / S)</v>
      </c>
    </row>
    <row r="10" spans="1:7" x14ac:dyDescent="0.35">
      <c r="A10" s="186" t="str">
        <f>VLOOKUP("IVE (Tipo Reducido Electricidade)",tabIdiomas[],MATCH('Hipóteses Xerais'!$D$2,tabIdiomas[#Headers]),FALSE)</f>
        <v>IVE (Tipo Reducido Electricidade)</v>
      </c>
      <c r="B10" s="323">
        <f>'Electric Invoice Costs (INTRO)'!B10</f>
        <v>0.1</v>
      </c>
      <c r="C10" s="187" t="str">
        <f>VLOOKUP("% s/ BI (Suma Conceptos Previos)",tabIdiomas[],MATCH('Hipóteses Xerais'!$D$2,tabIdiomas[#Headers]),FALSE)</f>
        <v>% s/ BI (Suma Conceptos Previos)</v>
      </c>
      <c r="E10" s="373" t="str">
        <f>INDEX(tabRespPreg1122729[Respuestas Pregunta],MATCH('Electric Invoice Costs (INTRO)'!E10,tabRespPreg1122729[Opciones mostradas],0),1)</f>
        <v>H</v>
      </c>
    </row>
    <row r="11" spans="1:7" x14ac:dyDescent="0.35">
      <c r="A11" s="188" t="str">
        <f>VLOOKUP("IVE (Tipo Super-Reducido Electr.)",tabIdiomas[],MATCH('Hipóteses Xerais'!$D$2,tabIdiomas[#Headers]),FALSE)</f>
        <v>IVE (Tipo Super-Reducido Electr.)</v>
      </c>
      <c r="B11" s="324">
        <f>'Electric Invoice Costs (INTRO)'!B11</f>
        <v>0.05</v>
      </c>
      <c r="C11" s="189" t="str">
        <f>VLOOKUP("% s/ BI (Suma Conceptos Previos)",tabIdiomas[],MATCH('Hipóteses Xerais'!$D$2,tabIdiomas[#Headers]),FALSE)</f>
        <v>% s/ BI (Suma Conceptos Previos)</v>
      </c>
    </row>
    <row r="13" spans="1:7" x14ac:dyDescent="0.35">
      <c r="F13" s="201"/>
      <c r="G13" s="201"/>
    </row>
    <row r="14" spans="1:7" hidden="1" x14ac:dyDescent="0.35">
      <c r="A14" s="202" t="str">
        <f>VLOOKUP("Concepto",tabIdiomas[],MATCH('Hipóteses Xerais'!$D$2,tabIdiomas[#Headers]),FALSE)</f>
        <v>Concepto</v>
      </c>
      <c r="B14" s="203" t="s">
        <v>17</v>
      </c>
    </row>
    <row r="15" spans="1:7" hidden="1" x14ac:dyDescent="0.35">
      <c r="A15" s="186" t="str">
        <f>$A$9</f>
        <v>IVE (Tipo Habitual)</v>
      </c>
      <c r="B15" s="204" t="s">
        <v>18</v>
      </c>
    </row>
    <row r="16" spans="1:7" hidden="1" x14ac:dyDescent="0.35">
      <c r="A16" s="186" t="str">
        <f>$A$10</f>
        <v>IVE (Tipo Reducido Electricidade)</v>
      </c>
      <c r="B16" s="204" t="s">
        <v>19</v>
      </c>
    </row>
    <row r="17" spans="1:2" hidden="1" x14ac:dyDescent="0.35">
      <c r="A17" s="188" t="str">
        <f>$A$11</f>
        <v>IVE (Tipo Super-Reducido Electr.)</v>
      </c>
      <c r="B17" s="205" t="s">
        <v>20</v>
      </c>
    </row>
    <row r="20" spans="1:2" x14ac:dyDescent="0.35">
      <c r="A20" s="245" t="str">
        <f>VLOOKUP("Hipóteses Participación Heteroxénea (Distrib. Aleatoria dos Consumos)",tabIdiomas[],MATCH('Hipóteses Xerais'!$D$2,tabIdiomas[#Headers]),FALSE)</f>
        <v>Hipóteses Participación Heteroxénea (Distrib. Aleatoria dos Consumos)</v>
      </c>
      <c r="B20" s="203"/>
    </row>
    <row r="21" spans="1:2" x14ac:dyDescent="0.35">
      <c r="A21" s="155" t="str">
        <f>VLOOKUP("Consumo Mensual Máximo de Cada Socio Individual (KWh)",tabIdiomas[],MATCH('Hipóteses Xerais'!$D$2,tabIdiomas[#Headers]),FALSE)</f>
        <v>Consumo Mensual Máximo de Cada Socio Individual (KWh)</v>
      </c>
      <c r="B21" s="325">
        <f>'Electric Invoice Costs (INTRO)'!B21</f>
        <v>525</v>
      </c>
    </row>
    <row r="22" spans="1:2" x14ac:dyDescent="0.35">
      <c r="A22" s="156" t="str">
        <f>VLOOKUP("Consumo Mensual Mínimo de Cada Socio Individual (KWh)",tabIdiomas[],MATCH('Hipóteses Xerais'!$D$2,tabIdiomas[#Headers]),FALSE)</f>
        <v>Consumo Mensual Mínimo de Cada Socio Individual (KWh)</v>
      </c>
      <c r="B22" s="326">
        <f>'Electric Invoice Costs (INTRO)'!B22</f>
        <v>75</v>
      </c>
    </row>
  </sheetData>
  <protectedRanges>
    <protectedRange sqref="B3:B11 E7 E10 B21:B22 F3:F4" name="Custos Factura Eléctrica"/>
  </protectedRanges>
  <dataValidations count="5">
    <dataValidation type="decimal" allowBlank="1" showInputMessage="1" showErrorMessage="1" sqref="B6:B7 B9:B11" xr:uid="{8C40DFF7-8ED3-4A04-A711-72FA9B624550}">
      <formula1>0</formula1>
      <formula2>1</formula2>
    </dataValidation>
    <dataValidation type="decimal" operator="greaterThanOrEqual" allowBlank="1" showInputMessage="1" showErrorMessage="1" sqref="F3:F4 B3:B5 B8 B21:B22" xr:uid="{93A28EBD-3DCE-4774-9C3A-C707FA22A142}">
      <formula1>0</formula1>
    </dataValidation>
    <dataValidation type="list" allowBlank="1" showDropDown="1" showInputMessage="1" showErrorMessage="1" sqref="B17" xr:uid="{1E50FDB5-6743-4E5A-A0CB-47AD49CCAF70}">
      <formula1>"S"</formula1>
    </dataValidation>
    <dataValidation type="list" allowBlank="1" showDropDown="1" showInputMessage="1" showErrorMessage="1" sqref="B16" xr:uid="{72545C32-2383-49A2-90EF-5948182A766F}">
      <formula1>"R"</formula1>
    </dataValidation>
    <dataValidation type="list" allowBlank="1" showDropDown="1" showInputMessage="1" showErrorMessage="1" sqref="B15" xr:uid="{2B4019E4-12DC-43D4-A324-B30F760FFAF0}">
      <formula1>"H"</formula1>
    </dataValidation>
  </dataValidations>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26DB7-73A1-4B4D-AA2C-CC3A42F17B26}">
  <sheetPr>
    <tabColor rgb="FFFFFF00"/>
    <pageSetUpPr fitToPage="1"/>
  </sheetPr>
  <dimension ref="A1:E192"/>
  <sheetViews>
    <sheetView topLeftCell="A186" zoomScale="94" zoomScaleNormal="94" workbookViewId="0">
      <selection activeCell="F2" sqref="F2"/>
    </sheetView>
  </sheetViews>
  <sheetFormatPr baseColWidth="10" defaultColWidth="11.453125" defaultRowHeight="14.5" x14ac:dyDescent="0.35"/>
  <cols>
    <col min="1" max="5" width="40.81640625" customWidth="1"/>
    <col min="6" max="6" width="19.54296875" bestFit="1" customWidth="1"/>
    <col min="7" max="7" width="21.1796875" bestFit="1" customWidth="1"/>
    <col min="8" max="8" width="20.54296875" bestFit="1" customWidth="1"/>
  </cols>
  <sheetData>
    <row r="1" spans="1:5" x14ac:dyDescent="0.35">
      <c r="A1" t="s">
        <v>10</v>
      </c>
      <c r="B1" t="s">
        <v>21</v>
      </c>
      <c r="C1" t="s">
        <v>22</v>
      </c>
      <c r="D1" t="s">
        <v>23</v>
      </c>
      <c r="E1" t="s">
        <v>0</v>
      </c>
    </row>
    <row r="2" spans="1:5" x14ac:dyDescent="0.35">
      <c r="A2" s="327" t="s">
        <v>24</v>
      </c>
      <c r="B2" s="327" t="s">
        <v>25</v>
      </c>
      <c r="C2" s="327" t="s">
        <v>26</v>
      </c>
      <c r="D2" s="327" t="s">
        <v>27</v>
      </c>
      <c r="E2" s="327" t="str">
        <f>tabIdiomas[[#This Row],[Cadena]]</f>
        <v>Hipóteses Xerais</v>
      </c>
    </row>
    <row r="3" spans="1:5" x14ac:dyDescent="0.35">
      <c r="A3" s="327" t="s">
        <v>28</v>
      </c>
      <c r="B3" s="327" t="s">
        <v>29</v>
      </c>
      <c r="C3" s="327" t="s">
        <v>30</v>
      </c>
      <c r="D3" s="327" t="s">
        <v>31</v>
      </c>
      <c r="E3" s="327" t="str">
        <f>tabIdiomas[[#This Row],[Cadena]]</f>
        <v>Lingua</v>
      </c>
    </row>
    <row r="4" spans="1:5" x14ac:dyDescent="0.35">
      <c r="A4" s="327" t="s">
        <v>32</v>
      </c>
      <c r="B4" s="327" t="s">
        <v>33</v>
      </c>
      <c r="C4" s="327" t="s">
        <v>34</v>
      </c>
      <c r="D4" s="327" t="s">
        <v>35</v>
      </c>
      <c r="E4" s="327" t="str">
        <f>tabIdiomas[[#This Row],[Cadena]]</f>
        <v>Emprazamento das Instalacións (Xeral)</v>
      </c>
    </row>
    <row r="5" spans="1:5" x14ac:dyDescent="0.35">
      <c r="A5" s="327" t="s">
        <v>36</v>
      </c>
      <c r="B5" s="327" t="s">
        <v>37</v>
      </c>
      <c r="C5" s="327" t="s">
        <v>38</v>
      </c>
      <c r="D5" s="327" t="s">
        <v>39</v>
      </c>
      <c r="E5" s="327" t="str">
        <f>tabIdiomas[[#This Row],[Cadena]]</f>
        <v>Área Xeográfica</v>
      </c>
    </row>
    <row r="6" spans="1:5" x14ac:dyDescent="0.35">
      <c r="A6" s="327" t="s">
        <v>1</v>
      </c>
      <c r="B6" s="327" t="s">
        <v>1</v>
      </c>
      <c r="C6" s="327" t="s">
        <v>1</v>
      </c>
      <c r="D6" s="327" t="s">
        <v>1</v>
      </c>
      <c r="E6" s="327" t="str">
        <f>tabIdiomas[[#This Row],[Cadena]]</f>
        <v>Galicia</v>
      </c>
    </row>
    <row r="7" spans="1:5" x14ac:dyDescent="0.35">
      <c r="A7" s="327" t="s">
        <v>40</v>
      </c>
      <c r="B7" s="327" t="s">
        <v>41</v>
      </c>
      <c r="C7" s="327" t="s">
        <v>2</v>
      </c>
      <c r="D7" s="327" t="s">
        <v>40</v>
      </c>
      <c r="E7" s="327" t="str">
        <f>tabIdiomas[[#This Row],[Cadena]]</f>
        <v>Resto de España</v>
      </c>
    </row>
    <row r="8" spans="1:5" x14ac:dyDescent="0.35">
      <c r="A8" s="327" t="s">
        <v>42</v>
      </c>
      <c r="B8" s="327" t="s">
        <v>43</v>
      </c>
      <c r="C8" s="327" t="s">
        <v>44</v>
      </c>
      <c r="D8" s="327" t="s">
        <v>45</v>
      </c>
      <c r="E8" s="327" t="str">
        <f>tabIdiomas[[#This Row],[Cadena]]</f>
        <v>Estranxeiro</v>
      </c>
    </row>
    <row r="9" spans="1:5" x14ac:dyDescent="0.35">
      <c r="A9" s="327" t="s">
        <v>46</v>
      </c>
      <c r="B9" s="327" t="s">
        <v>47</v>
      </c>
      <c r="C9" s="327" t="s">
        <v>48</v>
      </c>
      <c r="D9" s="327" t="s">
        <v>49</v>
      </c>
      <c r="E9" s="327" t="str">
        <f>tabIdiomas[[#This Row],[Cadena]]</f>
        <v>Provincia ou Rexión</v>
      </c>
    </row>
    <row r="10" spans="1:5" x14ac:dyDescent="0.35">
      <c r="A10" s="327" t="s">
        <v>50</v>
      </c>
      <c r="B10" s="327" t="s">
        <v>51</v>
      </c>
      <c r="C10" s="327" t="s">
        <v>52</v>
      </c>
      <c r="D10" s="327" t="s">
        <v>50</v>
      </c>
      <c r="E10" s="327" t="str">
        <f>tabIdiomas[[#This Row],[Cadena]]</f>
        <v>Provincia</v>
      </c>
    </row>
    <row r="11" spans="1:5" x14ac:dyDescent="0.35">
      <c r="A11" s="327" t="s">
        <v>53</v>
      </c>
      <c r="B11" s="327" t="s">
        <v>54</v>
      </c>
      <c r="C11" s="327" t="s">
        <v>55</v>
      </c>
      <c r="D11" s="327" t="s">
        <v>56</v>
      </c>
      <c r="E11" s="327" t="str">
        <f>tabIdiomas[[#This Row],[Cadena]]</f>
        <v>Concello ou Termo Municipal</v>
      </c>
    </row>
    <row r="12" spans="1:5" x14ac:dyDescent="0.35">
      <c r="A12" s="327" t="s">
        <v>57</v>
      </c>
      <c r="B12" s="327" t="s">
        <v>33</v>
      </c>
      <c r="C12" s="327" t="s">
        <v>58</v>
      </c>
      <c r="D12" s="327" t="s">
        <v>59</v>
      </c>
      <c r="E12" s="327" t="str">
        <f>tabIdiomas[[#This Row],[Cadena]]</f>
        <v>Emprazamento das Instalacións (Galicia)</v>
      </c>
    </row>
    <row r="13" spans="1:5" x14ac:dyDescent="0.35">
      <c r="A13" s="327" t="s">
        <v>60</v>
      </c>
      <c r="B13" s="327" t="s">
        <v>61</v>
      </c>
      <c r="C13" s="327" t="s">
        <v>62</v>
      </c>
      <c r="D13" s="327" t="s">
        <v>60</v>
      </c>
      <c r="E13" s="327" t="str">
        <f>tabIdiomas[[#This Row],[Cadena]]</f>
        <v>CC.AA.</v>
      </c>
    </row>
    <row r="14" spans="1:5" x14ac:dyDescent="0.35">
      <c r="A14" s="327" t="s">
        <v>63</v>
      </c>
      <c r="B14" s="327" t="s">
        <v>64</v>
      </c>
      <c r="C14" s="327" t="s">
        <v>55</v>
      </c>
      <c r="D14" s="327" t="s">
        <v>65</v>
      </c>
      <c r="E14" s="327" t="str">
        <f>tabIdiomas[[#This Row],[Cadena]]</f>
        <v>Concello</v>
      </c>
    </row>
    <row r="15" spans="1:5" x14ac:dyDescent="0.35">
      <c r="A15" s="327" t="s">
        <v>66</v>
      </c>
      <c r="B15" s="327" t="s">
        <v>67</v>
      </c>
      <c r="C15" s="327" t="s">
        <v>68</v>
      </c>
      <c r="D15" s="327" t="s">
        <v>66</v>
      </c>
      <c r="E15" s="327" t="str">
        <f>tabIdiomas[[#This Row],[Cadena]]</f>
        <v>Parroquia</v>
      </c>
    </row>
    <row r="16" spans="1:5" x14ac:dyDescent="0.35">
      <c r="A16" s="327" t="s">
        <v>69</v>
      </c>
      <c r="B16" s="327" t="s">
        <v>69</v>
      </c>
      <c r="C16" s="327" t="s">
        <v>69</v>
      </c>
      <c r="D16" s="327" t="s">
        <v>69</v>
      </c>
      <c r="E16" s="327" t="str">
        <f>tabIdiomas[[#This Row],[Cadena]]</f>
        <v>A Coruña</v>
      </c>
    </row>
    <row r="17" spans="1:5" x14ac:dyDescent="0.35">
      <c r="A17" s="327" t="s">
        <v>70</v>
      </c>
      <c r="B17" s="327" t="s">
        <v>70</v>
      </c>
      <c r="C17" s="327" t="s">
        <v>70</v>
      </c>
      <c r="D17" s="327" t="s">
        <v>70</v>
      </c>
      <c r="E17" s="327" t="str">
        <f>tabIdiomas[[#This Row],[Cadena]]</f>
        <v>Lugo</v>
      </c>
    </row>
    <row r="18" spans="1:5" x14ac:dyDescent="0.35">
      <c r="A18" s="327" t="s">
        <v>71</v>
      </c>
      <c r="B18" s="327" t="s">
        <v>71</v>
      </c>
      <c r="C18" s="327" t="s">
        <v>71</v>
      </c>
      <c r="D18" s="327" t="s">
        <v>71</v>
      </c>
      <c r="E18" s="327" t="str">
        <f>tabIdiomas[[#This Row],[Cadena]]</f>
        <v>Ourense</v>
      </c>
    </row>
    <row r="19" spans="1:5" x14ac:dyDescent="0.35">
      <c r="A19" s="327" t="s">
        <v>3</v>
      </c>
      <c r="B19" s="327" t="s">
        <v>3</v>
      </c>
      <c r="C19" s="327" t="s">
        <v>3</v>
      </c>
      <c r="D19" s="327" t="s">
        <v>3</v>
      </c>
      <c r="E19" s="327" t="str">
        <f>tabIdiomas[[#This Row],[Cadena]]</f>
        <v>Pontevedra</v>
      </c>
    </row>
    <row r="20" spans="1:5" ht="29" x14ac:dyDescent="0.35">
      <c r="A20" s="327" t="s">
        <v>72</v>
      </c>
      <c r="B20" s="327" t="s">
        <v>73</v>
      </c>
      <c r="C20" s="327" t="s">
        <v>74</v>
      </c>
      <c r="D20" s="327" t="s">
        <v>75</v>
      </c>
      <c r="E20" s="327" t="str">
        <f>tabIdiomas[[#This Row],[Cadena]]</f>
        <v>Dispoñibilidade de Terreos para Emprazar as Instalacións</v>
      </c>
    </row>
    <row r="21" spans="1:5" x14ac:dyDescent="0.35">
      <c r="A21" s="327" t="s">
        <v>76</v>
      </c>
      <c r="B21" s="327" t="s">
        <v>77</v>
      </c>
      <c r="C21" s="327" t="s">
        <v>78</v>
      </c>
      <c r="D21" s="327" t="s">
        <v>79</v>
      </c>
      <c r="E21" s="327" t="str">
        <f>tabIdiomas[[#This Row],[Cadena]]</f>
        <v>Superficie de Terreo Dispoñible (m2)</v>
      </c>
    </row>
    <row r="22" spans="1:5" ht="29" x14ac:dyDescent="0.35">
      <c r="A22" s="327" t="s">
        <v>80</v>
      </c>
      <c r="B22" s="327" t="s">
        <v>81</v>
      </c>
      <c r="C22" s="327" t="s">
        <v>82</v>
      </c>
      <c r="D22" s="327" t="s">
        <v>83</v>
      </c>
      <c r="E22" s="327" t="str">
        <f>tabIdiomas[[#This Row],[Cadena]]</f>
        <v>Superficie Precisa para Corredores (m2)</v>
      </c>
    </row>
    <row r="23" spans="1:5" x14ac:dyDescent="0.35">
      <c r="A23" s="327" t="s">
        <v>84</v>
      </c>
      <c r="B23" s="327" t="s">
        <v>85</v>
      </c>
      <c r="C23" s="327" t="s">
        <v>86</v>
      </c>
      <c r="D23" s="327" t="s">
        <v>87</v>
      </c>
      <c r="E23" s="327" t="str">
        <f>tabIdiomas[[#This Row],[Cadena]]</f>
        <v>Prazo da Instalación (Anos)</v>
      </c>
    </row>
    <row r="24" spans="1:5" ht="29" x14ac:dyDescent="0.35">
      <c r="A24" s="327" t="s">
        <v>88</v>
      </c>
      <c r="B24" s="327" t="s">
        <v>89</v>
      </c>
      <c r="C24" s="327" t="s">
        <v>90</v>
      </c>
      <c r="D24" s="327" t="s">
        <v>91</v>
      </c>
      <c r="E24" s="327" t="str">
        <f>tabIdiomas[[#This Row],[Cadena]]</f>
        <v>IVE - Venda de Mercaderías, Gastos e Investimentos (%)</v>
      </c>
    </row>
    <row r="25" spans="1:5" x14ac:dyDescent="0.35">
      <c r="A25" s="327" t="s">
        <v>92</v>
      </c>
      <c r="B25" s="327" t="s">
        <v>93</v>
      </c>
      <c r="C25" s="327" t="s">
        <v>94</v>
      </c>
      <c r="D25" s="327" t="s">
        <v>95</v>
      </c>
      <c r="E25" s="327" t="str">
        <f>tabIdiomas[[#This Row],[Cadena]]</f>
        <v>IVE - Período de Liquidación (Meses)</v>
      </c>
    </row>
    <row r="26" spans="1:5" x14ac:dyDescent="0.35">
      <c r="A26" s="327" t="s">
        <v>96</v>
      </c>
      <c r="B26" s="327" t="s">
        <v>97</v>
      </c>
      <c r="C26" s="327" t="s">
        <v>98</v>
      </c>
      <c r="D26" s="327" t="s">
        <v>96</v>
      </c>
      <c r="E26" s="327" t="str">
        <f>tabIdiomas[[#This Row],[Cadena]]</f>
        <v>Tipo Impositivo IS (%)</v>
      </c>
    </row>
    <row r="27" spans="1:5" ht="29" x14ac:dyDescent="0.35">
      <c r="A27" s="327" t="s">
        <v>99</v>
      </c>
      <c r="B27" s="327" t="s">
        <v>100</v>
      </c>
      <c r="C27" s="327" t="s">
        <v>101</v>
      </c>
      <c r="D27" s="327" t="s">
        <v>102</v>
      </c>
      <c r="E27" s="327" t="str">
        <f>tabIdiomas[[#This Row],[Cadena]]</f>
        <v>Necesidade de Prestación de Garantía á Administración (Si / Non)</v>
      </c>
    </row>
    <row r="28" spans="1:5" x14ac:dyDescent="0.35">
      <c r="A28" s="327" t="s">
        <v>103</v>
      </c>
      <c r="B28" s="327" t="s">
        <v>104</v>
      </c>
      <c r="C28" s="327" t="s">
        <v>7</v>
      </c>
      <c r="D28" s="327" t="s">
        <v>105</v>
      </c>
      <c r="E28" s="327" t="str">
        <f>tabIdiomas[[#This Row],[Cadena]]</f>
        <v>Si</v>
      </c>
    </row>
    <row r="29" spans="1:5" x14ac:dyDescent="0.35">
      <c r="A29" s="327" t="s">
        <v>12</v>
      </c>
      <c r="B29" s="327" t="s">
        <v>106</v>
      </c>
      <c r="C29" s="327" t="s">
        <v>5</v>
      </c>
      <c r="D29" s="327" t="s">
        <v>5</v>
      </c>
      <c r="E29" s="327" t="str">
        <f>tabIdiomas[[#This Row],[Cadena]]</f>
        <v>Non</v>
      </c>
    </row>
    <row r="30" spans="1:5" x14ac:dyDescent="0.35">
      <c r="A30" s="327" t="s">
        <v>107</v>
      </c>
      <c r="B30" s="327" t="s">
        <v>108</v>
      </c>
      <c r="C30" s="327" t="s">
        <v>109</v>
      </c>
      <c r="D30" s="327" t="s">
        <v>110</v>
      </c>
      <c r="E30" s="327" t="str">
        <f>tabIdiomas[[#This Row],[Cadena]]</f>
        <v>Remuneración Caixa (%)</v>
      </c>
    </row>
    <row r="31" spans="1:5" x14ac:dyDescent="0.35">
      <c r="A31" s="327" t="s">
        <v>111</v>
      </c>
      <c r="B31" s="327" t="s">
        <v>112</v>
      </c>
      <c r="C31" s="327" t="s">
        <v>113</v>
      </c>
      <c r="D31" s="327" t="s">
        <v>114</v>
      </c>
      <c r="E31" s="327" t="str">
        <f>tabIdiomas[[#This Row],[Cadena]]</f>
        <v>Financiamento do Proxecto</v>
      </c>
    </row>
    <row r="32" spans="1:5" ht="29" x14ac:dyDescent="0.35">
      <c r="A32" s="327" t="s">
        <v>115</v>
      </c>
      <c r="B32" s="327" t="s">
        <v>116</v>
      </c>
      <c r="C32" s="327" t="s">
        <v>117</v>
      </c>
      <c r="D32" s="327" t="s">
        <v>118</v>
      </c>
      <c r="E32" s="327" t="str">
        <f>tabIdiomas[[#This Row],[Cadena]]</f>
        <v>% Financiamento Alleo do investimento (Débeda)</v>
      </c>
    </row>
    <row r="33" spans="1:5" x14ac:dyDescent="0.35">
      <c r="A33" s="327" t="s">
        <v>119</v>
      </c>
      <c r="B33" s="327" t="s">
        <v>120</v>
      </c>
      <c r="C33" s="327" t="s">
        <v>121</v>
      </c>
      <c r="D33" s="327" t="s">
        <v>122</v>
      </c>
      <c r="E33" s="327" t="str">
        <f>tabIdiomas[[#This Row],[Cadena]]</f>
        <v>Prazo (Anos)</v>
      </c>
    </row>
    <row r="34" spans="1:5" ht="29" x14ac:dyDescent="0.35">
      <c r="A34" s="327" t="s">
        <v>123</v>
      </c>
      <c r="B34" s="327" t="s">
        <v>124</v>
      </c>
      <c r="C34" s="327" t="s">
        <v>125</v>
      </c>
      <c r="D34" s="327" t="s">
        <v>126</v>
      </c>
      <c r="E34" s="327" t="str">
        <f>tabIdiomas[[#This Row],[Cadena]]</f>
        <v>Período de Carencia de Capital (Anos)</v>
      </c>
    </row>
    <row r="35" spans="1:5" ht="29" x14ac:dyDescent="0.35">
      <c r="A35" s="327" t="s">
        <v>127</v>
      </c>
      <c r="B35" s="327" t="s">
        <v>128</v>
      </c>
      <c r="C35" s="327" t="s">
        <v>129</v>
      </c>
      <c r="D35" s="327" t="s">
        <v>130</v>
      </c>
      <c r="E35" s="327" t="str">
        <f>tabIdiomas[[#This Row],[Cadena]]</f>
        <v>Periodo de Carencia de Xuros (Anos)</v>
      </c>
    </row>
    <row r="36" spans="1:5" ht="29" x14ac:dyDescent="0.35">
      <c r="A36" s="327" t="s">
        <v>131</v>
      </c>
      <c r="B36" s="327" t="s">
        <v>132</v>
      </c>
      <c r="C36" s="327" t="s">
        <v>133</v>
      </c>
      <c r="D36" s="327" t="s">
        <v>134</v>
      </c>
      <c r="E36" s="327" t="str">
        <f>tabIdiomas[[#This Row],[Cadena]]</f>
        <v>Número de Meses a Considerar no Primeiro Ano</v>
      </c>
    </row>
    <row r="37" spans="1:5" ht="29" x14ac:dyDescent="0.35">
      <c r="A37" s="327" t="s">
        <v>135</v>
      </c>
      <c r="B37" s="327" t="s">
        <v>136</v>
      </c>
      <c r="C37" s="327" t="s">
        <v>137</v>
      </c>
      <c r="D37" s="327" t="s">
        <v>135</v>
      </c>
      <c r="E37" s="327" t="str">
        <f>tabIdiomas[[#This Row],[Cadena]]</f>
        <v>Euribor (%)</v>
      </c>
    </row>
    <row r="38" spans="1:5" x14ac:dyDescent="0.35">
      <c r="A38" s="327" t="s">
        <v>138</v>
      </c>
      <c r="B38" s="327" t="s">
        <v>139</v>
      </c>
      <c r="C38" s="327" t="s">
        <v>140</v>
      </c>
      <c r="D38" s="327" t="s">
        <v>141</v>
      </c>
      <c r="E38" s="327" t="str">
        <f>tabIdiomas[[#This Row],[Cadena]]</f>
        <v>Marxe sobre Euribor (%)</v>
      </c>
    </row>
    <row r="39" spans="1:5" x14ac:dyDescent="0.35">
      <c r="A39" s="327" t="s">
        <v>142</v>
      </c>
      <c r="B39" s="327" t="s">
        <v>143</v>
      </c>
      <c r="C39" s="327" t="s">
        <v>144</v>
      </c>
      <c r="D39" s="327" t="s">
        <v>142</v>
      </c>
      <c r="E39" s="327" t="str">
        <f>tabIdiomas[[#This Row],[Cadena]]</f>
        <v>Comisión de Apertura (%)</v>
      </c>
    </row>
    <row r="40" spans="1:5" ht="29" x14ac:dyDescent="0.35">
      <c r="A40" s="327" t="s">
        <v>145</v>
      </c>
      <c r="B40" s="327" t="s">
        <v>146</v>
      </c>
      <c r="C40" s="327" t="s">
        <v>147</v>
      </c>
      <c r="D40" s="327" t="s">
        <v>148</v>
      </c>
      <c r="E40" s="327" t="str">
        <f>tabIdiomas[[#This Row],[Cadena]]</f>
        <v>Desglose do Investimento: Instalacións e Gastos de Constitución</v>
      </c>
    </row>
    <row r="41" spans="1:5" ht="29" x14ac:dyDescent="0.35">
      <c r="A41" s="327" t="s">
        <v>149</v>
      </c>
      <c r="B41" s="327" t="s">
        <v>150</v>
      </c>
      <c r="C41" s="327" t="s">
        <v>151</v>
      </c>
      <c r="D41" s="327" t="s">
        <v>152</v>
      </c>
      <c r="E41" s="327" t="str">
        <f>tabIdiomas[[#This Row],[Cadena]]</f>
        <v>Ratio de Investimento s/ Potencia Instalada (€/kW)</v>
      </c>
    </row>
    <row r="42" spans="1:5" ht="29" x14ac:dyDescent="0.35">
      <c r="A42" s="327" t="s">
        <v>153</v>
      </c>
      <c r="B42" s="327" t="s">
        <v>154</v>
      </c>
      <c r="C42" s="327" t="s">
        <v>155</v>
      </c>
      <c r="D42" s="327" t="s">
        <v>156</v>
      </c>
      <c r="E42" s="327" t="str">
        <f>tabIdiomas[[#This Row],[Cadena]]</f>
        <v>Necesidade de Novo CUPS, Propio (Si/Non)</v>
      </c>
    </row>
    <row r="43" spans="1:5" ht="29" x14ac:dyDescent="0.35">
      <c r="A43" s="327" t="s">
        <v>157</v>
      </c>
      <c r="B43" s="327" t="s">
        <v>158</v>
      </c>
      <c r="C43" s="327" t="s">
        <v>159</v>
      </c>
      <c r="D43" s="327" t="s">
        <v>160</v>
      </c>
      <c r="E43" s="327" t="str">
        <f>tabIdiomas[[#This Row],[Cadena]]</f>
        <v>Custo de Investimento Vinculado á Obtención do Novo CUPS (€)</v>
      </c>
    </row>
    <row r="44" spans="1:5" ht="29" x14ac:dyDescent="0.35">
      <c r="A44" s="327" t="s">
        <v>161</v>
      </c>
      <c r="B44" s="327" t="s">
        <v>162</v>
      </c>
      <c r="C44" s="327" t="s">
        <v>163</v>
      </c>
      <c r="D44" s="327" t="s">
        <v>164</v>
      </c>
      <c r="E44" s="327" t="str">
        <f>tabIdiomas[[#This Row],[Cadena]]</f>
        <v>Gastos de Constitución (Importe Fixo ou Proporcional ao Investimento)</v>
      </c>
    </row>
    <row r="45" spans="1:5" x14ac:dyDescent="0.35">
      <c r="A45" s="327" t="s">
        <v>165</v>
      </c>
      <c r="B45" s="327" t="s">
        <v>166</v>
      </c>
      <c r="C45" s="327" t="s">
        <v>6</v>
      </c>
      <c r="D45" s="327" t="s">
        <v>167</v>
      </c>
      <c r="E45" s="327" t="str">
        <f>tabIdiomas[[#This Row],[Cadena]]</f>
        <v>Fixo</v>
      </c>
    </row>
    <row r="46" spans="1:5" x14ac:dyDescent="0.35">
      <c r="A46" s="327" t="s">
        <v>168</v>
      </c>
      <c r="B46" s="327" t="s">
        <v>169</v>
      </c>
      <c r="C46" s="327" t="s">
        <v>170</v>
      </c>
      <c r="D46" s="327" t="s">
        <v>168</v>
      </c>
      <c r="E46" s="327" t="str">
        <f>tabIdiomas[[#This Row],[Cadena]]</f>
        <v>Proporcional</v>
      </c>
    </row>
    <row r="47" spans="1:5" ht="29" x14ac:dyDescent="0.35">
      <c r="A47" s="327" t="s">
        <v>171</v>
      </c>
      <c r="B47" s="327" t="s">
        <v>172</v>
      </c>
      <c r="C47" s="327" t="s">
        <v>173</v>
      </c>
      <c r="D47" s="327" t="s">
        <v>174</v>
      </c>
      <c r="E47" s="327" t="str">
        <f>tabIdiomas[[#This Row],[Cadena]]</f>
        <v>Gastos de Constitución (Importe Proporcional, % s/Investimento Inicial, se Aplicable)</v>
      </c>
    </row>
    <row r="48" spans="1:5" ht="29" x14ac:dyDescent="0.35">
      <c r="A48" s="327" t="s">
        <v>175</v>
      </c>
      <c r="B48" s="327" t="s">
        <v>176</v>
      </c>
      <c r="C48" s="327" t="s">
        <v>177</v>
      </c>
      <c r="D48" s="327" t="s">
        <v>178</v>
      </c>
      <c r="E48" s="327" t="str">
        <f>tabIdiomas[[#This Row],[Cadena]]</f>
        <v>Gastos de Constitución (Importe Fixo, se Aplicable) (€)</v>
      </c>
    </row>
    <row r="49" spans="1:5" x14ac:dyDescent="0.35">
      <c r="A49" s="327" t="s">
        <v>179</v>
      </c>
      <c r="B49" s="327" t="s">
        <v>657</v>
      </c>
      <c r="C49" s="327" t="s">
        <v>656</v>
      </c>
      <c r="D49" s="327" t="s">
        <v>181</v>
      </c>
      <c r="E49" s="327" t="str">
        <f>tabIdiomas[[#This Row],[Cadena]]</f>
        <v>GASTOS: Compras de Materiais e Servizos</v>
      </c>
    </row>
    <row r="50" spans="1:5" x14ac:dyDescent="0.35">
      <c r="A50" s="327" t="s">
        <v>182</v>
      </c>
      <c r="B50" s="327" t="s">
        <v>183</v>
      </c>
      <c r="C50" s="327" t="s">
        <v>11</v>
      </c>
      <c r="D50" s="327" t="s">
        <v>182</v>
      </c>
      <c r="E50" s="327" t="str">
        <f>tabIdiomas[[#This Row],[Cadena]]</f>
        <v>Auto-explotación</v>
      </c>
    </row>
    <row r="51" spans="1:5" x14ac:dyDescent="0.35">
      <c r="A51" s="327" t="s">
        <v>184</v>
      </c>
      <c r="B51" s="327" t="s">
        <v>185</v>
      </c>
      <c r="C51" s="327" t="s">
        <v>186</v>
      </c>
      <c r="D51" s="327" t="s">
        <v>187</v>
      </c>
      <c r="E51" s="327" t="str">
        <f>tabIdiomas[[#This Row],[Cadena]]</f>
        <v>Persoal Propio</v>
      </c>
    </row>
    <row r="52" spans="1:5" x14ac:dyDescent="0.35">
      <c r="A52" s="327" t="s">
        <v>188</v>
      </c>
      <c r="B52" s="327" t="s">
        <v>189</v>
      </c>
      <c r="C52" s="327" t="s">
        <v>190</v>
      </c>
      <c r="D52" s="327" t="s">
        <v>188</v>
      </c>
      <c r="E52" s="327" t="str">
        <f>tabIdiomas[[#This Row],[Cadena]]</f>
        <v>Subcontratación</v>
      </c>
    </row>
    <row r="53" spans="1:5" x14ac:dyDescent="0.35">
      <c r="A53" s="327" t="s">
        <v>191</v>
      </c>
      <c r="B53" s="327" t="s">
        <v>668</v>
      </c>
      <c r="C53" s="327" t="s">
        <v>192</v>
      </c>
      <c r="D53" s="327" t="s">
        <v>193</v>
      </c>
      <c r="E53" s="327" t="str">
        <f>tabIdiomas[[#This Row],[Cadena]]</f>
        <v>Compras de Materiais e Servizos (Si/Non)</v>
      </c>
    </row>
    <row r="54" spans="1:5" x14ac:dyDescent="0.35">
      <c r="A54" s="327" t="s">
        <v>194</v>
      </c>
      <c r="B54" s="327" t="s">
        <v>671</v>
      </c>
      <c r="C54" s="327" t="s">
        <v>195</v>
      </c>
      <c r="D54" s="327" t="s">
        <v>196</v>
      </c>
      <c r="E54" s="327" t="str">
        <f>tabIdiomas[[#This Row],[Cadena]]</f>
        <v>Realización das Labores de Xestión</v>
      </c>
    </row>
    <row r="55" spans="1:5" x14ac:dyDescent="0.35">
      <c r="A55" s="327" t="s">
        <v>197</v>
      </c>
      <c r="B55" s="327" t="s">
        <v>658</v>
      </c>
      <c r="C55" s="327" t="s">
        <v>198</v>
      </c>
      <c r="D55" s="327" t="s">
        <v>197</v>
      </c>
      <c r="E55" s="327" t="str">
        <f>tabIdiomas[[#This Row],[Cadena]]</f>
        <v>Unidades</v>
      </c>
    </row>
    <row r="56" spans="1:5" x14ac:dyDescent="0.35">
      <c r="A56" s="328" t="s">
        <v>199</v>
      </c>
      <c r="B56" s="327" t="s">
        <v>659</v>
      </c>
      <c r="C56" s="327" t="s">
        <v>660</v>
      </c>
      <c r="D56" s="328" t="s">
        <v>661</v>
      </c>
      <c r="E56" s="327" t="s">
        <v>661</v>
      </c>
    </row>
    <row r="57" spans="1:5" ht="29" x14ac:dyDescent="0.35">
      <c r="A57" s="327" t="s">
        <v>200</v>
      </c>
      <c r="B57" s="327" t="s">
        <v>201</v>
      </c>
      <c r="C57" s="327" t="s">
        <v>202</v>
      </c>
      <c r="D57" s="327" t="s">
        <v>203</v>
      </c>
      <c r="E57" s="327" t="str">
        <f>tabIdiomas[[#This Row],[Cadena]]</f>
        <v>Desglose do Investimento: Datos Relativos ao Inversor</v>
      </c>
    </row>
    <row r="58" spans="1:5" ht="29" x14ac:dyDescent="0.35">
      <c r="A58" s="327" t="s">
        <v>204</v>
      </c>
      <c r="B58" s="327" t="s">
        <v>205</v>
      </c>
      <c r="C58" s="327" t="s">
        <v>206</v>
      </c>
      <c r="D58" s="327" t="s">
        <v>207</v>
      </c>
      <c r="E58" s="327" t="str">
        <f>tabIdiomas[[#This Row],[Cadena]]</f>
        <v>Investimento Inversor (% s/ Invest. Inicial en Instalacións)</v>
      </c>
    </row>
    <row r="59" spans="1:5" ht="29" x14ac:dyDescent="0.35">
      <c r="A59" s="327" t="s">
        <v>208</v>
      </c>
      <c r="B59" s="327" t="s">
        <v>209</v>
      </c>
      <c r="C59" s="327" t="s">
        <v>210</v>
      </c>
      <c r="D59" s="327" t="s">
        <v>211</v>
      </c>
      <c r="E59" s="327" t="str">
        <f>tabIdiomas[[#This Row],[Cadena]]</f>
        <v>Prazo Invest. Inversor (Vida Útil Estimada)</v>
      </c>
    </row>
    <row r="60" spans="1:5" x14ac:dyDescent="0.35">
      <c r="A60" s="328" t="s">
        <v>212</v>
      </c>
      <c r="B60" s="327" t="s">
        <v>662</v>
      </c>
      <c r="C60" s="327" t="s">
        <v>213</v>
      </c>
      <c r="D60" s="327" t="s">
        <v>214</v>
      </c>
      <c r="E60" s="327" t="str">
        <f>tabIdiomas[[#This Row],[Cadena]]</f>
        <v>Compras de Outros Aprovisionamentos</v>
      </c>
    </row>
    <row r="61" spans="1:5" ht="29" x14ac:dyDescent="0.35">
      <c r="A61" s="327" t="s">
        <v>215</v>
      </c>
      <c r="B61" s="327" t="s">
        <v>663</v>
      </c>
      <c r="C61" s="327" t="s">
        <v>216</v>
      </c>
      <c r="D61" s="327" t="s">
        <v>217</v>
      </c>
      <c r="E61" s="327" t="str">
        <f>tabIdiomas[[#This Row],[Cadena]]</f>
        <v>Compras de Elementos e Conxuntos Incorporables</v>
      </c>
    </row>
    <row r="62" spans="1:5" x14ac:dyDescent="0.35">
      <c r="A62" s="327" t="s">
        <v>218</v>
      </c>
      <c r="B62" s="327" t="s">
        <v>219</v>
      </c>
      <c r="C62" s="327" t="s">
        <v>220</v>
      </c>
      <c r="D62" s="327" t="s">
        <v>218</v>
      </c>
      <c r="E62" s="327" t="str">
        <f>tabIdiomas[[#This Row],[Cadena]]</f>
        <v>Subvención Pública</v>
      </c>
    </row>
    <row r="63" spans="1:5" x14ac:dyDescent="0.35">
      <c r="A63" s="327" t="s">
        <v>221</v>
      </c>
      <c r="B63" s="327" t="s">
        <v>222</v>
      </c>
      <c r="C63" s="327" t="s">
        <v>223</v>
      </c>
      <c r="D63" s="327" t="s">
        <v>224</v>
      </c>
      <c r="E63" s="327" t="str">
        <f>tabIdiomas[[#This Row],[Cadena]]</f>
        <v>Subvención Pública (Si / Non)</v>
      </c>
    </row>
    <row r="64" spans="1:5" ht="29" x14ac:dyDescent="0.35">
      <c r="A64" s="327" t="s">
        <v>225</v>
      </c>
      <c r="B64" s="327" t="s">
        <v>226</v>
      </c>
      <c r="C64" s="327" t="s">
        <v>227</v>
      </c>
      <c r="D64" s="327" t="s">
        <v>228</v>
      </c>
      <c r="E64" s="327" t="str">
        <f>tabIdiomas[[#This Row],[Cadena]]</f>
        <v>Ratio de Subvención (Subv. -%- s/  -Invest. Inicial en Instalac.)</v>
      </c>
    </row>
    <row r="65" spans="1:5" x14ac:dyDescent="0.35">
      <c r="A65" s="327" t="s">
        <v>229</v>
      </c>
      <c r="B65" s="327" t="s">
        <v>230</v>
      </c>
      <c r="C65" s="327" t="s">
        <v>231</v>
      </c>
      <c r="D65" s="327" t="s">
        <v>232</v>
      </c>
      <c r="E65" s="327" t="str">
        <f>tabIdiomas[[#This Row],[Cadena]]</f>
        <v>Composición da Base de Socios</v>
      </c>
    </row>
    <row r="66" spans="1:5" x14ac:dyDescent="0.35">
      <c r="A66" s="327" t="s">
        <v>233</v>
      </c>
      <c r="B66" s="327" t="s">
        <v>234</v>
      </c>
      <c r="C66" s="327" t="s">
        <v>235</v>
      </c>
      <c r="D66" s="327" t="s">
        <v>233</v>
      </c>
      <c r="E66" s="327" t="str">
        <f>tabIdiomas[[#This Row],[Cadena]]</f>
        <v>% S/Total de Socios</v>
      </c>
    </row>
    <row r="67" spans="1:5" x14ac:dyDescent="0.35">
      <c r="A67" s="327" t="s">
        <v>236</v>
      </c>
      <c r="B67" s="327" t="s">
        <v>237</v>
      </c>
      <c r="C67" s="327" t="s">
        <v>238</v>
      </c>
      <c r="D67" s="327" t="s">
        <v>236</v>
      </c>
      <c r="E67" s="327" t="str">
        <f>tabIdiomas[[#This Row],[Cadena]]</f>
        <v>Proporción de Socios Segmento Residencial</v>
      </c>
    </row>
    <row r="68" spans="1:5" x14ac:dyDescent="0.35">
      <c r="A68" s="327" t="s">
        <v>239</v>
      </c>
      <c r="B68" s="327" t="s">
        <v>240</v>
      </c>
      <c r="C68" s="327" t="s">
        <v>241</v>
      </c>
      <c r="D68" s="327" t="s">
        <v>242</v>
      </c>
      <c r="E68" s="327" t="str">
        <f>tabIdiomas[[#This Row],[Cadena]]</f>
        <v>Cotas de Socios e Outros Ingresos Mensuais</v>
      </c>
    </row>
    <row r="69" spans="1:5" x14ac:dyDescent="0.35">
      <c r="A69" s="327" t="s">
        <v>243</v>
      </c>
      <c r="B69" s="327" t="s">
        <v>244</v>
      </c>
      <c r="C69" s="327" t="s">
        <v>245</v>
      </c>
      <c r="D69" s="327" t="s">
        <v>246</v>
      </c>
      <c r="E69" s="327" t="str">
        <f>tabIdiomas[[#This Row],[Cadena]]</f>
        <v>Cota Extraord. Primeiro Ano (€/Mes)</v>
      </c>
    </row>
    <row r="70" spans="1:5" x14ac:dyDescent="0.35">
      <c r="A70" s="327" t="s">
        <v>247</v>
      </c>
      <c r="B70" s="327" t="s">
        <v>248</v>
      </c>
      <c r="C70" s="327" t="s">
        <v>249</v>
      </c>
      <c r="D70" s="327" t="s">
        <v>250</v>
      </c>
      <c r="E70" s="327" t="str">
        <f>tabIdiomas[[#This Row],[Cadena]]</f>
        <v>Outros Ingresos Mensuais (€/Mes)</v>
      </c>
    </row>
    <row r="71" spans="1:5" ht="29" x14ac:dyDescent="0.35">
      <c r="A71" s="327" t="s">
        <v>251</v>
      </c>
      <c r="B71" s="327" t="s">
        <v>252</v>
      </c>
      <c r="C71" s="327" t="s">
        <v>253</v>
      </c>
      <c r="D71" s="327" t="s">
        <v>254</v>
      </c>
      <c r="E71" s="327" t="str">
        <f>tabIdiomas[[#This Row],[Cadena]]</f>
        <v>Impacto Fiscal Trasladado a Cotas de Socios (Si/Non)</v>
      </c>
    </row>
    <row r="72" spans="1:5" x14ac:dyDescent="0.35">
      <c r="A72" s="328" t="s">
        <v>255</v>
      </c>
      <c r="B72" s="327" t="s">
        <v>664</v>
      </c>
      <c r="C72" s="327" t="s">
        <v>256</v>
      </c>
      <c r="D72" s="327" t="s">
        <v>255</v>
      </c>
      <c r="E72" s="327" t="str">
        <f>tabIdiomas[[#This Row],[Cadena]]</f>
        <v>Compras de Combustibles</v>
      </c>
    </row>
    <row r="73" spans="1:5" x14ac:dyDescent="0.35">
      <c r="A73" s="328" t="s">
        <v>257</v>
      </c>
      <c r="B73" s="327" t="s">
        <v>665</v>
      </c>
      <c r="C73" s="327" t="s">
        <v>258</v>
      </c>
      <c r="D73" s="327" t="s">
        <v>259</v>
      </c>
      <c r="E73" s="327" t="str">
        <f>tabIdiomas[[#This Row],[Cadena]]</f>
        <v>Compras de Repostos</v>
      </c>
    </row>
    <row r="74" spans="1:5" x14ac:dyDescent="0.35">
      <c r="A74" s="328" t="s">
        <v>260</v>
      </c>
      <c r="B74" s="327" t="s">
        <v>261</v>
      </c>
      <c r="C74" s="327" t="s">
        <v>262</v>
      </c>
      <c r="D74" s="327" t="s">
        <v>263</v>
      </c>
      <c r="E74" s="327" t="str">
        <f>tabIdiomas[[#This Row],[Cadena]]</f>
        <v>Compras de Materiais Diversos</v>
      </c>
    </row>
    <row r="75" spans="1:5" ht="28.5" customHeight="1" x14ac:dyDescent="0.35">
      <c r="A75" s="328" t="s">
        <v>264</v>
      </c>
      <c r="B75" s="327" t="s">
        <v>666</v>
      </c>
      <c r="C75" s="327" t="s">
        <v>265</v>
      </c>
      <c r="D75" s="327" t="s">
        <v>264</v>
      </c>
      <c r="E75" s="327" t="str">
        <f>tabIdiomas[[#This Row],[Cadena]]</f>
        <v>Compras de Material de Oficina</v>
      </c>
    </row>
    <row r="76" spans="1:5" x14ac:dyDescent="0.35">
      <c r="A76" s="328" t="s">
        <v>266</v>
      </c>
      <c r="B76" s="327" t="s">
        <v>667</v>
      </c>
      <c r="C76" s="327" t="s">
        <v>267</v>
      </c>
      <c r="D76" s="327" t="s">
        <v>268</v>
      </c>
      <c r="E76" s="327" t="str">
        <f>tabIdiomas[[#This Row],[Cadena]]</f>
        <v>Traballos realizados por Outras Empresas</v>
      </c>
    </row>
    <row r="77" spans="1:5" x14ac:dyDescent="0.35">
      <c r="A77" s="328" t="s">
        <v>269</v>
      </c>
      <c r="B77" s="327" t="s">
        <v>270</v>
      </c>
      <c r="C77" s="327" t="s">
        <v>271</v>
      </c>
      <c r="D77" s="327" t="s">
        <v>272</v>
      </c>
      <c r="E77" s="327" t="str">
        <f>tabIdiomas[[#This Row],[Cadena]]</f>
        <v>Hipóteses Relativas á Enerxía</v>
      </c>
    </row>
    <row r="78" spans="1:5" ht="29" x14ac:dyDescent="0.35">
      <c r="A78" s="328" t="s">
        <v>273</v>
      </c>
      <c r="B78" s="327" t="s">
        <v>274</v>
      </c>
      <c r="C78" s="327" t="s">
        <v>275</v>
      </c>
      <c r="D78" s="327" t="s">
        <v>276</v>
      </c>
      <c r="E78" s="327" t="str">
        <f>tabIdiomas[[#This Row],[Cadena]]</f>
        <v>Prezo de Referencia de Mercado da Electricidade (€/MWh)</v>
      </c>
    </row>
    <row r="79" spans="1:5" ht="28.5" customHeight="1" x14ac:dyDescent="0.35">
      <c r="A79" s="328" t="s">
        <v>277</v>
      </c>
      <c r="B79" s="327" t="s">
        <v>278</v>
      </c>
      <c r="C79" s="327" t="s">
        <v>180</v>
      </c>
      <c r="D79" s="327" t="s">
        <v>279</v>
      </c>
      <c r="E79" s="327" t="str">
        <f>tabIdiomas[[#This Row],[Cadena]]</f>
        <v>GASTOS: Gastos de Persoal</v>
      </c>
    </row>
    <row r="80" spans="1:5" ht="29" x14ac:dyDescent="0.35">
      <c r="A80" s="328" t="s">
        <v>280</v>
      </c>
      <c r="B80" s="327" t="s">
        <v>651</v>
      </c>
      <c r="C80" s="327" t="s">
        <v>281</v>
      </c>
      <c r="D80" s="327" t="s">
        <v>282</v>
      </c>
      <c r="E80" s="327" t="str">
        <f>tabIdiomas[[#This Row],[Cadena]]</f>
        <v>Número de Empregados a Xornada Completa Equivalentes</v>
      </c>
    </row>
    <row r="81" spans="1:5" ht="29" x14ac:dyDescent="0.35">
      <c r="A81" s="328" t="s">
        <v>283</v>
      </c>
      <c r="B81" s="327" t="s">
        <v>652</v>
      </c>
      <c r="C81" s="327" t="s">
        <v>284</v>
      </c>
      <c r="D81" s="327" t="s">
        <v>285</v>
      </c>
      <c r="E81" s="327" t="str">
        <f>tabIdiomas[[#This Row],[Cadena]]</f>
        <v>Seguridade Social a cargo da Empresa</v>
      </c>
    </row>
    <row r="82" spans="1:5" x14ac:dyDescent="0.35">
      <c r="A82" s="328" t="s">
        <v>286</v>
      </c>
      <c r="B82" s="327" t="s">
        <v>653</v>
      </c>
      <c r="C82" s="327" t="s">
        <v>287</v>
      </c>
      <c r="D82" s="327" t="s">
        <v>288</v>
      </c>
      <c r="E82" s="327" t="str">
        <f>tabIdiomas[[#This Row],[Cadena]]</f>
        <v>Outros gastos sociais</v>
      </c>
    </row>
    <row r="83" spans="1:5" ht="29" x14ac:dyDescent="0.35">
      <c r="A83" s="328" t="s">
        <v>289</v>
      </c>
      <c r="B83" s="327" t="s">
        <v>290</v>
      </c>
      <c r="C83" s="327" t="s">
        <v>291</v>
      </c>
      <c r="D83" s="327" t="s">
        <v>292</v>
      </c>
      <c r="E83" s="327" t="str">
        <f>tabIdiomas[[#This Row],[Cadena]]</f>
        <v>Prezo Autoconsumo (% sobre Prezo Medio)</v>
      </c>
    </row>
    <row r="84" spans="1:5" ht="29" x14ac:dyDescent="0.35">
      <c r="A84" s="328" t="s">
        <v>293</v>
      </c>
      <c r="B84" s="327" t="s">
        <v>294</v>
      </c>
      <c r="C84" s="327" t="s">
        <v>295</v>
      </c>
      <c r="D84" s="327" t="s">
        <v>296</v>
      </c>
      <c r="E84" s="327" t="str">
        <f>tabIdiomas[[#This Row],[Cadena]]</f>
        <v>Prezo Compensación (% sobre Prezo Medio)</v>
      </c>
    </row>
    <row r="85" spans="1:5" x14ac:dyDescent="0.35">
      <c r="A85" s="328" t="s">
        <v>297</v>
      </c>
      <c r="B85" s="327" t="s">
        <v>298</v>
      </c>
      <c r="C85" s="327" t="s">
        <v>299</v>
      </c>
      <c r="D85" s="327" t="s">
        <v>300</v>
      </c>
      <c r="E85" s="327" t="str">
        <f>tabIdiomas[[#This Row],[Cadena]]</f>
        <v>Prezo Venda (% sobre Prezo Medio)</v>
      </c>
    </row>
    <row r="86" spans="1:5" ht="29" x14ac:dyDescent="0.35">
      <c r="A86" s="328" t="s">
        <v>301</v>
      </c>
      <c r="B86" s="327" t="s">
        <v>654</v>
      </c>
      <c r="C86" s="327" t="s">
        <v>302</v>
      </c>
      <c r="D86" s="327" t="s">
        <v>303</v>
      </c>
      <c r="E86" s="327" t="str">
        <f>tabIdiomas[[#This Row],[Cadena]]</f>
        <v>Compensación ou Venda da Enerxía</v>
      </c>
    </row>
    <row r="87" spans="1:5" x14ac:dyDescent="0.35">
      <c r="A87" s="328" t="s">
        <v>304</v>
      </c>
      <c r="B87" s="327" t="s">
        <v>655</v>
      </c>
      <c r="C87" s="327" t="s">
        <v>305</v>
      </c>
      <c r="D87" s="327" t="s">
        <v>304</v>
      </c>
      <c r="E87" s="327" t="str">
        <f>tabIdiomas[[#This Row],[Cadena]]</f>
        <v>Compensación</v>
      </c>
    </row>
    <row r="88" spans="1:5" x14ac:dyDescent="0.35">
      <c r="A88" s="328" t="s">
        <v>306</v>
      </c>
      <c r="B88" s="327" t="s">
        <v>307</v>
      </c>
      <c r="C88" s="327" t="s">
        <v>8</v>
      </c>
      <c r="D88" s="327" t="s">
        <v>308</v>
      </c>
      <c r="E88" s="327" t="str">
        <f>tabIdiomas[[#This Row],[Cadena]]</f>
        <v>Venda</v>
      </c>
    </row>
    <row r="89" spans="1:5" ht="29" x14ac:dyDescent="0.35">
      <c r="A89" s="328" t="s">
        <v>309</v>
      </c>
      <c r="B89" s="327" t="s">
        <v>310</v>
      </c>
      <c r="C89" s="327" t="s">
        <v>311</v>
      </c>
      <c r="D89" s="327" t="s">
        <v>312</v>
      </c>
      <c r="E89" s="327" t="str">
        <f>tabIdiomas[[#This Row],[Cadena]]</f>
        <v>Porcentaxe Esóxena de Aforro sobre Consumo Total (%)</v>
      </c>
    </row>
    <row r="90" spans="1:5" x14ac:dyDescent="0.35">
      <c r="A90" s="328" t="s">
        <v>313</v>
      </c>
      <c r="B90" s="327" t="s">
        <v>314</v>
      </c>
      <c r="C90" s="327" t="s">
        <v>315</v>
      </c>
      <c r="D90" s="327" t="s">
        <v>316</v>
      </c>
      <c r="E90" s="327" t="str">
        <f>tabIdiomas[[#This Row],[Cadena]]</f>
        <v>Batería Virtual (Si / Non)</v>
      </c>
    </row>
    <row r="91" spans="1:5" ht="58" x14ac:dyDescent="0.35">
      <c r="A91" s="328" t="s">
        <v>317</v>
      </c>
      <c r="B91" s="327" t="s">
        <v>318</v>
      </c>
      <c r="C91" s="327" t="s">
        <v>319</v>
      </c>
      <c r="D91" s="327" t="s">
        <v>320</v>
      </c>
      <c r="E91" s="327" t="str">
        <f>tabIdiomas[[#This Row],[Cadena]]</f>
        <v>Proporción da Enerxía Compensada que se Retribuiría Económicamente pola Comercializadora de NON existir Batería Virtual</v>
      </c>
    </row>
    <row r="92" spans="1:5" ht="29" x14ac:dyDescent="0.35">
      <c r="A92" s="328" t="s">
        <v>321</v>
      </c>
      <c r="B92" s="327" t="s">
        <v>322</v>
      </c>
      <c r="C92" s="327" t="s">
        <v>323</v>
      </c>
      <c r="D92" s="327" t="s">
        <v>324</v>
      </c>
      <c r="E92" s="327" t="str">
        <f>tabIdiomas[[#This Row],[Cadena]]</f>
        <v>Proporción Autoconsumo s/ Enerxía Xerada (Mix Resid-Empr. Equilibrado)</v>
      </c>
    </row>
    <row r="93" spans="1:5" ht="43.5" x14ac:dyDescent="0.35">
      <c r="A93" s="328" t="s">
        <v>325</v>
      </c>
      <c r="B93" s="327" t="s">
        <v>326</v>
      </c>
      <c r="C93" s="327" t="s">
        <v>327</v>
      </c>
      <c r="D93" s="327" t="s">
        <v>328</v>
      </c>
      <c r="E93" s="327" t="str">
        <f>tabIdiomas[[#This Row],[Cadena]]</f>
        <v>Proporción Autoconsumo s/ Enerxía Xerada (Mix Resid-Empr. Parcialmente Equilibrado)</v>
      </c>
    </row>
    <row r="94" spans="1:5" ht="43.5" x14ac:dyDescent="0.35">
      <c r="A94" s="328" t="s">
        <v>329</v>
      </c>
      <c r="B94" s="327" t="s">
        <v>330</v>
      </c>
      <c r="C94" s="327" t="s">
        <v>331</v>
      </c>
      <c r="D94" s="327" t="s">
        <v>332</v>
      </c>
      <c r="E94" s="327" t="str">
        <f>tabIdiomas[[#This Row],[Cadena]]</f>
        <v>Proporción Autoconsumo s/ Enerxía Xerada (Mix Resid-Empr. Desequilibrado)</v>
      </c>
    </row>
    <row r="95" spans="1:5" ht="30" customHeight="1" x14ac:dyDescent="0.35">
      <c r="A95" s="328" t="s">
        <v>333</v>
      </c>
      <c r="B95" s="327" t="s">
        <v>669</v>
      </c>
      <c r="C95" s="327" t="s">
        <v>334</v>
      </c>
      <c r="D95" s="327" t="s">
        <v>670</v>
      </c>
      <c r="E95" s="327" t="s">
        <v>670</v>
      </c>
    </row>
    <row r="96" spans="1:5" ht="36" customHeight="1" x14ac:dyDescent="0.35">
      <c r="A96" s="328" t="s">
        <v>335</v>
      </c>
      <c r="B96" s="327" t="s">
        <v>672</v>
      </c>
      <c r="C96" s="327" t="s">
        <v>336</v>
      </c>
      <c r="D96" s="327" t="s">
        <v>337</v>
      </c>
      <c r="E96" s="327" t="str">
        <f>tabIdiomas[[#This Row],[Cadena]]</f>
        <v>GASTOS: Gastos en Servizos Exteriores (Excl. Outros Servicios)</v>
      </c>
    </row>
    <row r="97" spans="1:5" ht="36.75" customHeight="1" x14ac:dyDescent="0.35">
      <c r="A97" s="328" t="s">
        <v>338</v>
      </c>
      <c r="B97" s="327" t="s">
        <v>673</v>
      </c>
      <c r="C97" s="327" t="s">
        <v>339</v>
      </c>
      <c r="D97" s="327" t="s">
        <v>340</v>
      </c>
      <c r="E97" s="327" t="str">
        <f>tabIdiomas[[#This Row],[Cadena]]</f>
        <v>Arrendamentos e Cánones (Aluguer terreos)</v>
      </c>
    </row>
    <row r="98" spans="1:5" ht="29" x14ac:dyDescent="0.35">
      <c r="A98" s="328" t="s">
        <v>341</v>
      </c>
      <c r="B98" s="327" t="s">
        <v>674</v>
      </c>
      <c r="C98" s="327" t="s">
        <v>342</v>
      </c>
      <c r="D98" s="327" t="s">
        <v>343</v>
      </c>
      <c r="E98" s="327" t="str">
        <f>tabIdiomas[[#This Row],[Cadena]]</f>
        <v>Reparacións e Mantemento das Instalacións</v>
      </c>
    </row>
    <row r="99" spans="1:5" x14ac:dyDescent="0.35">
      <c r="A99" s="328" t="s">
        <v>344</v>
      </c>
      <c r="B99" s="327" t="s">
        <v>675</v>
      </c>
      <c r="C99" s="327" t="s">
        <v>345</v>
      </c>
      <c r="D99" s="327" t="s">
        <v>346</v>
      </c>
      <c r="E99" s="327" t="str">
        <f>tabIdiomas[[#This Row],[Cadena]]</f>
        <v>Reparación das Instalacións</v>
      </c>
    </row>
    <row r="100" spans="1:5" x14ac:dyDescent="0.35">
      <c r="A100" s="328" t="s">
        <v>347</v>
      </c>
      <c r="B100" s="327" t="s">
        <v>676</v>
      </c>
      <c r="C100" s="327" t="s">
        <v>348</v>
      </c>
      <c r="D100" s="327" t="s">
        <v>349</v>
      </c>
      <c r="E100" s="327" t="str">
        <f>tabIdiomas[[#This Row],[Cadena]]</f>
        <v>Mantemento das Instalacións</v>
      </c>
    </row>
    <row r="101" spans="1:5" ht="43.5" x14ac:dyDescent="0.35">
      <c r="A101" s="328" t="s">
        <v>350</v>
      </c>
      <c r="B101" s="327" t="s">
        <v>677</v>
      </c>
      <c r="C101" s="327" t="s">
        <v>351</v>
      </c>
      <c r="D101" s="327" t="s">
        <v>352</v>
      </c>
      <c r="E101" s="327" t="str">
        <f>tabIdiomas[[#This Row],[Cadena]]</f>
        <v>Servicios de Profesionais Indep. (Notarios, Avogados, Rexistradores, Economistas, Asesores, etc.)</v>
      </c>
    </row>
    <row r="102" spans="1:5" x14ac:dyDescent="0.35">
      <c r="A102" s="328" t="s">
        <v>353</v>
      </c>
      <c r="B102" s="327" t="s">
        <v>678</v>
      </c>
      <c r="C102" s="327" t="s">
        <v>354</v>
      </c>
      <c r="D102" s="327" t="s">
        <v>355</v>
      </c>
      <c r="E102" s="327" t="str">
        <f>tabIdiomas[[#This Row],[Cadena]]</f>
        <v>Gastos de Notaría e Rexistro</v>
      </c>
    </row>
    <row r="103" spans="1:5" ht="28.5" customHeight="1" x14ac:dyDescent="0.35">
      <c r="A103" s="328" t="s">
        <v>356</v>
      </c>
      <c r="B103" s="327" t="s">
        <v>680</v>
      </c>
      <c r="C103" s="327" t="s">
        <v>357</v>
      </c>
      <c r="D103" s="327" t="s">
        <v>358</v>
      </c>
      <c r="E103" s="327" t="str">
        <f>tabIdiomas[[#This Row],[Cadena]]</f>
        <v>Gastos de Asesoría Xurídica</v>
      </c>
    </row>
    <row r="104" spans="1:5" ht="34.5" customHeight="1" x14ac:dyDescent="0.35">
      <c r="A104" s="328" t="s">
        <v>359</v>
      </c>
      <c r="B104" s="327" t="s">
        <v>360</v>
      </c>
      <c r="C104" s="327" t="s">
        <v>361</v>
      </c>
      <c r="D104" s="327" t="s">
        <v>362</v>
      </c>
      <c r="E104" s="327" t="str">
        <f>tabIdiomas[[#This Row],[Cadena]]</f>
        <v>Gastos de Asesoramento Económico-Financeiro</v>
      </c>
    </row>
    <row r="105" spans="1:5" x14ac:dyDescent="0.35">
      <c r="A105" s="328" t="s">
        <v>363</v>
      </c>
      <c r="B105" s="327" t="s">
        <v>687</v>
      </c>
      <c r="C105" s="327" t="s">
        <v>364</v>
      </c>
      <c r="D105" s="327" t="s">
        <v>365</v>
      </c>
      <c r="E105" s="327" t="str">
        <f>tabIdiomas[[#This Row],[Cadena]]</f>
        <v>Gastos de Asesoramento Técnico (Enxeñería)</v>
      </c>
    </row>
    <row r="106" spans="1:5" x14ac:dyDescent="0.35">
      <c r="A106" s="328" t="s">
        <v>366</v>
      </c>
      <c r="B106" s="327" t="s">
        <v>367</v>
      </c>
      <c r="C106" s="327" t="s">
        <v>368</v>
      </c>
      <c r="D106" s="327" t="s">
        <v>366</v>
      </c>
      <c r="E106" s="327" t="str">
        <f>tabIdiomas[[#This Row],[Cadena]]</f>
        <v>Fórmula Desindexación</v>
      </c>
    </row>
    <row r="107" spans="1:5" x14ac:dyDescent="0.35">
      <c r="A107" s="328" t="s">
        <v>369</v>
      </c>
      <c r="B107" s="327" t="s">
        <v>370</v>
      </c>
      <c r="C107" s="327" t="s">
        <v>371</v>
      </c>
      <c r="D107" s="327" t="s">
        <v>369</v>
      </c>
      <c r="E107" s="327" t="str">
        <f>tabIdiomas[[#This Row],[Cadena]]</f>
        <v>% Anual</v>
      </c>
    </row>
    <row r="108" spans="1:5" ht="29" x14ac:dyDescent="0.35">
      <c r="A108" s="328" t="s">
        <v>372</v>
      </c>
      <c r="B108" s="327" t="s">
        <v>373</v>
      </c>
      <c r="C108" s="327" t="s">
        <v>374</v>
      </c>
      <c r="D108" s="327" t="s">
        <v>375</v>
      </c>
      <c r="E108" s="327" t="str">
        <f>tabIdiomas[[#This Row],[Cadena]]</f>
        <v>Taxa para a Actualización Salarios Sector (= IPC)</v>
      </c>
    </row>
    <row r="109" spans="1:5" ht="29" x14ac:dyDescent="0.35">
      <c r="A109" s="328" t="s">
        <v>376</v>
      </c>
      <c r="B109" s="327" t="s">
        <v>377</v>
      </c>
      <c r="C109" s="327" t="s">
        <v>378</v>
      </c>
      <c r="D109" s="327" t="s">
        <v>379</v>
      </c>
      <c r="E109" s="327" t="str">
        <f>tabIdiomas[[#This Row],[Cadena]]</f>
        <v>Taxa para a Actualización do Custo da Enerxía</v>
      </c>
    </row>
    <row r="110" spans="1:5" ht="29" x14ac:dyDescent="0.35">
      <c r="A110" s="328" t="s">
        <v>380</v>
      </c>
      <c r="B110" s="327" t="s">
        <v>381</v>
      </c>
      <c r="C110" s="327" t="s">
        <v>382</v>
      </c>
      <c r="D110" s="327" t="s">
        <v>383</v>
      </c>
      <c r="E110" s="327" t="str">
        <f>tabIdiomas[[#This Row],[Cadena]]</f>
        <v>Taxa para a Actualización dos Gastos de Explotación Xerais</v>
      </c>
    </row>
    <row r="111" spans="1:5" ht="29" x14ac:dyDescent="0.35">
      <c r="A111" s="328" t="s">
        <v>384</v>
      </c>
      <c r="B111" s="327" t="s">
        <v>385</v>
      </c>
      <c r="C111" s="327" t="s">
        <v>386</v>
      </c>
      <c r="D111" s="327" t="s">
        <v>387</v>
      </c>
      <c r="E111" s="327" t="str">
        <f>tabIdiomas[[#This Row],[Cadena]]</f>
        <v>Taxa para a Actualización de 'Outros Gastos de Explotación'</v>
      </c>
    </row>
    <row r="112" spans="1:5" ht="29" x14ac:dyDescent="0.35">
      <c r="A112" s="328" t="s">
        <v>388</v>
      </c>
      <c r="B112" s="327" t="s">
        <v>389</v>
      </c>
      <c r="C112" s="327" t="s">
        <v>390</v>
      </c>
      <c r="D112" s="327" t="s">
        <v>391</v>
      </c>
      <c r="E112" s="327" t="str">
        <f>tabIdiomas[[#This Row],[Cadena]]</f>
        <v>Taxa de Variación do importe máximo das tarifas</v>
      </c>
    </row>
    <row r="113" spans="1:5" x14ac:dyDescent="0.35">
      <c r="A113" s="328" t="s">
        <v>392</v>
      </c>
      <c r="B113" s="327" t="s">
        <v>692</v>
      </c>
      <c r="C113" s="327" t="s">
        <v>393</v>
      </c>
      <c r="D113" s="327" t="s">
        <v>392</v>
      </c>
      <c r="E113" s="327" t="str">
        <f>tabIdiomas[[#This Row],[Cadena]]</f>
        <v>Transportes</v>
      </c>
    </row>
    <row r="114" spans="1:5" ht="29" x14ac:dyDescent="0.35">
      <c r="A114" s="328" t="s">
        <v>394</v>
      </c>
      <c r="B114" s="327" t="s">
        <v>694</v>
      </c>
      <c r="C114" s="327" t="s">
        <v>395</v>
      </c>
      <c r="D114" s="327" t="s">
        <v>396</v>
      </c>
      <c r="E114" s="327" t="str">
        <f>tabIdiomas[[#This Row],[Cadena]]</f>
        <v>Primas de Seguros (% do Investimento Inicial, Anual)</v>
      </c>
    </row>
    <row r="115" spans="1:5" x14ac:dyDescent="0.35">
      <c r="A115" s="328" t="s">
        <v>397</v>
      </c>
      <c r="B115" s="327" t="s">
        <v>398</v>
      </c>
      <c r="C115" s="327" t="s">
        <v>399</v>
      </c>
      <c r="D115" s="327" t="s">
        <v>400</v>
      </c>
      <c r="E115" s="327" t="str">
        <f>tabIdiomas[[#This Row],[Cadena]]</f>
        <v>Servizos Bancarios</v>
      </c>
    </row>
    <row r="116" spans="1:5" x14ac:dyDescent="0.35">
      <c r="A116" s="328" t="s">
        <v>401</v>
      </c>
      <c r="B116" s="327" t="s">
        <v>697</v>
      </c>
      <c r="C116" s="327" t="s">
        <v>402</v>
      </c>
      <c r="D116" s="327" t="s">
        <v>403</v>
      </c>
      <c r="E116" s="327" t="str">
        <f>tabIdiomas[[#This Row],[Cadena]]</f>
        <v>Publicidade, Propaganda e RR.PP.</v>
      </c>
    </row>
    <row r="117" spans="1:5" x14ac:dyDescent="0.35">
      <c r="A117" s="328" t="s">
        <v>404</v>
      </c>
      <c r="B117" s="327" t="s">
        <v>698</v>
      </c>
      <c r="C117" s="327" t="s">
        <v>405</v>
      </c>
      <c r="D117" s="327" t="s">
        <v>406</v>
      </c>
      <c r="E117" s="327" t="str">
        <f>tabIdiomas[[#This Row],[Cadena]]</f>
        <v>Material e Actividades Publicitarias</v>
      </c>
    </row>
    <row r="118" spans="1:5" x14ac:dyDescent="0.35">
      <c r="A118" s="328" t="s">
        <v>407</v>
      </c>
      <c r="B118" s="327" t="s">
        <v>699</v>
      </c>
      <c r="C118" s="327" t="s">
        <v>408</v>
      </c>
      <c r="D118" s="327" t="s">
        <v>407</v>
      </c>
      <c r="E118" s="327" t="str">
        <f>tabIdiomas[[#This Row],[Cadena]]</f>
        <v>Actividades de Promoción</v>
      </c>
    </row>
    <row r="119" spans="1:5" x14ac:dyDescent="0.35">
      <c r="A119" s="328" t="s">
        <v>409</v>
      </c>
      <c r="B119" s="327" t="s">
        <v>410</v>
      </c>
      <c r="C119" s="327" t="s">
        <v>411</v>
      </c>
      <c r="D119" s="327" t="s">
        <v>412</v>
      </c>
      <c r="E119" s="327" t="str">
        <f>tabIdiomas[[#This Row],[Cadena]]</f>
        <v>Relacións Públicas</v>
      </c>
    </row>
    <row r="120" spans="1:5" x14ac:dyDescent="0.35">
      <c r="A120" s="328" t="s">
        <v>413</v>
      </c>
      <c r="B120" s="327" t="s">
        <v>700</v>
      </c>
      <c r="C120" s="327" t="s">
        <v>414</v>
      </c>
      <c r="D120" s="327" t="s">
        <v>415</v>
      </c>
      <c r="E120" s="327" t="str">
        <f>tabIdiomas[[#This Row],[Cadena]]</f>
        <v>Subministros</v>
      </c>
    </row>
    <row r="121" spans="1:5" x14ac:dyDescent="0.35">
      <c r="A121" s="328" t="s">
        <v>416</v>
      </c>
      <c r="B121" s="327" t="s">
        <v>701</v>
      </c>
      <c r="C121" s="327" t="s">
        <v>417</v>
      </c>
      <c r="D121" s="327" t="s">
        <v>418</v>
      </c>
      <c r="E121" s="327" t="str">
        <f>tabIdiomas[[#This Row],[Cadena]]</f>
        <v>Telefonía Fixa e/ou Móbil</v>
      </c>
    </row>
    <row r="122" spans="1:5" x14ac:dyDescent="0.35">
      <c r="A122" s="328" t="s">
        <v>419</v>
      </c>
      <c r="B122" s="327" t="s">
        <v>702</v>
      </c>
      <c r="C122" s="327" t="s">
        <v>420</v>
      </c>
      <c r="D122" s="327" t="s">
        <v>419</v>
      </c>
      <c r="E122" s="327" t="str">
        <f>tabIdiomas[[#This Row],[Cadena]]</f>
        <v>Conexión a Internet</v>
      </c>
    </row>
    <row r="123" spans="1:5" ht="29" x14ac:dyDescent="0.35">
      <c r="A123" s="328" t="s">
        <v>421</v>
      </c>
      <c r="B123" s="327" t="s">
        <v>703</v>
      </c>
      <c r="C123" s="327" t="s">
        <v>422</v>
      </c>
      <c r="D123" s="327" t="s">
        <v>423</v>
      </c>
      <c r="E123" s="327" t="str">
        <f>tabIdiomas[[#This Row],[Cadena]]</f>
        <v>Subministro de Electricidade (Termo de Potencia)</v>
      </c>
    </row>
    <row r="124" spans="1:5" ht="29" x14ac:dyDescent="0.35">
      <c r="A124" s="328" t="s">
        <v>424</v>
      </c>
      <c r="B124" s="327" t="s">
        <v>704</v>
      </c>
      <c r="C124" s="327" t="s">
        <v>425</v>
      </c>
      <c r="D124" s="327" t="s">
        <v>426</v>
      </c>
      <c r="E124" s="327" t="str">
        <f>tabIdiomas[[#This Row],[Cadena]]</f>
        <v>Subministro de Electricidade (Termo de Enerxía e Outros)</v>
      </c>
    </row>
    <row r="125" spans="1:5" x14ac:dyDescent="0.35">
      <c r="A125" s="328" t="s">
        <v>427</v>
      </c>
      <c r="B125" s="327" t="s">
        <v>428</v>
      </c>
      <c r="C125" s="327" t="s">
        <v>429</v>
      </c>
      <c r="D125" s="327" t="s">
        <v>430</v>
      </c>
      <c r="E125" s="327" t="str">
        <f>tabIdiomas[[#This Row],[Cadena]]</f>
        <v>Subministro de Auga Corrente</v>
      </c>
    </row>
    <row r="126" spans="1:5" ht="29" x14ac:dyDescent="0.35">
      <c r="A126" s="328" t="s">
        <v>431</v>
      </c>
      <c r="B126" s="327" t="s">
        <v>705</v>
      </c>
      <c r="C126" s="327" t="s">
        <v>432</v>
      </c>
      <c r="D126" s="327" t="s">
        <v>433</v>
      </c>
      <c r="E126" s="327" t="str">
        <f>tabIdiomas[[#This Row],[Cadena]]</f>
        <v>Necesidade de Conexión a Internet, Propia (Si/Non)</v>
      </c>
    </row>
    <row r="127" spans="1:5" ht="43.5" x14ac:dyDescent="0.35">
      <c r="A127" s="328" t="s">
        <v>434</v>
      </c>
      <c r="B127" s="327" t="s">
        <v>435</v>
      </c>
      <c r="C127" s="327" t="s">
        <v>436</v>
      </c>
      <c r="D127" s="327" t="s">
        <v>437</v>
      </c>
      <c r="E127" s="327" t="str">
        <f>tabIdiomas[[#This Row],[Cadena]]</f>
        <v>Outras Eventuais Percepcións dos Socios, procedentes da CE, Distintas da Enerxía Producida</v>
      </c>
    </row>
    <row r="128" spans="1:5" x14ac:dyDescent="0.35">
      <c r="A128" s="328" t="s">
        <v>438</v>
      </c>
      <c r="B128" s="327" t="s">
        <v>439</v>
      </c>
      <c r="C128" s="327" t="s">
        <v>440</v>
      </c>
      <c r="D128" s="327" t="s">
        <v>441</v>
      </c>
      <c r="E128" s="327" t="str">
        <f>tabIdiomas[[#This Row],[Cadena]]</f>
        <v>Valor Anual Conxunto de Socios (€)</v>
      </c>
    </row>
    <row r="129" spans="1:5" ht="43.5" x14ac:dyDescent="0.35">
      <c r="A129" s="328" t="s">
        <v>442</v>
      </c>
      <c r="B129" s="327" t="s">
        <v>443</v>
      </c>
      <c r="C129" s="327" t="s">
        <v>444</v>
      </c>
      <c r="D129" s="327" t="s">
        <v>445</v>
      </c>
      <c r="E129" s="327" t="str">
        <f>tabIdiomas[[#This Row],[Cadena]]</f>
        <v>Ingresos por Prestación Gratuíta de Outros Servizos pola Entidade Xestora da Iniciativa Comunitaria</v>
      </c>
    </row>
    <row r="130" spans="1:5" ht="29" x14ac:dyDescent="0.35">
      <c r="A130" s="328" t="s">
        <v>446</v>
      </c>
      <c r="B130" s="327" t="s">
        <v>447</v>
      </c>
      <c r="C130" s="327" t="s">
        <v>448</v>
      </c>
      <c r="D130" s="327" t="s">
        <v>449</v>
      </c>
      <c r="E130" s="327" t="str">
        <f>tabIdiomas[[#This Row],[Cadena]]</f>
        <v>Outros Ingresos Percibidos da Entidade Xestora da Iniciativa Comunitaria</v>
      </c>
    </row>
    <row r="131" spans="1:5" ht="29" x14ac:dyDescent="0.35">
      <c r="A131" s="328" t="s">
        <v>450</v>
      </c>
      <c r="B131" s="327" t="s">
        <v>451</v>
      </c>
      <c r="C131" s="327" t="s">
        <v>452</v>
      </c>
      <c r="D131" s="327" t="s">
        <v>453</v>
      </c>
      <c r="E131" s="327" t="str">
        <f>tabIdiomas[[#This Row],[Cadena]]</f>
        <v>Axuste de Exclusiva Aplicación para o Cálculo do Estado de Fluxos de Efectivo (EFE)</v>
      </c>
    </row>
    <row r="132" spans="1:5" ht="43.5" x14ac:dyDescent="0.35">
      <c r="A132" s="328" t="s">
        <v>454</v>
      </c>
      <c r="B132" s="327" t="s">
        <v>455</v>
      </c>
      <c r="C132" s="327" t="s">
        <v>456</v>
      </c>
      <c r="D132" s="327" t="s">
        <v>457</v>
      </c>
      <c r="E132" s="327" t="str">
        <f>tabIdiomas[[#This Row],[Cadena]]</f>
        <v>Inclusión do Valor da Enerxía Producida como Ingreso que Xera Fluxo de Efectivo (Si/Non)</v>
      </c>
    </row>
    <row r="133" spans="1:5" ht="43.5" x14ac:dyDescent="0.35">
      <c r="A133" s="328" t="s">
        <v>458</v>
      </c>
      <c r="B133" s="327" t="s">
        <v>459</v>
      </c>
      <c r="C133" s="327" t="s">
        <v>460</v>
      </c>
      <c r="D133" s="327" t="s">
        <v>461</v>
      </c>
      <c r="E133" s="327" t="str">
        <f>tabIdiomas[[#This Row],[Cadena]]</f>
        <v>Determinación da Enerxía Xerada (KWh) por KWp Ao Ano</v>
      </c>
    </row>
    <row r="134" spans="1:5" ht="29" x14ac:dyDescent="0.35">
      <c r="A134" s="328" t="s">
        <v>462</v>
      </c>
      <c r="B134" s="327" t="s">
        <v>463</v>
      </c>
      <c r="C134" s="327" t="s">
        <v>464</v>
      </c>
      <c r="D134" s="327" t="s">
        <v>465</v>
      </c>
      <c r="E134" s="327" t="str">
        <f>tabIdiomas[[#This Row],[Cadena]]</f>
        <v>Determinación do Consumo Mensual (KWh) do Socio Promedio Tipo</v>
      </c>
    </row>
    <row r="135" spans="1:5" x14ac:dyDescent="0.35">
      <c r="A135" s="328" t="s">
        <v>9</v>
      </c>
      <c r="B135" s="327" t="s">
        <v>466</v>
      </c>
      <c r="C135" s="327" t="s">
        <v>9</v>
      </c>
      <c r="D135" s="327" t="s">
        <v>9</v>
      </c>
      <c r="E135" s="327" t="str">
        <f>tabIdiomas[[#This Row],[Cadena]]</f>
        <v>Manual</v>
      </c>
    </row>
    <row r="136" spans="1:5" x14ac:dyDescent="0.35">
      <c r="A136" s="328" t="s">
        <v>467</v>
      </c>
      <c r="B136" s="327" t="s">
        <v>468</v>
      </c>
      <c r="C136" s="327" t="s">
        <v>469</v>
      </c>
      <c r="D136" s="327" t="s">
        <v>470</v>
      </c>
      <c r="E136" s="327" t="str">
        <f>tabIdiomas[[#This Row],[Cadena]]</f>
        <v>Automática (Só Galicia)</v>
      </c>
    </row>
    <row r="137" spans="1:5" ht="43.5" x14ac:dyDescent="0.35">
      <c r="A137" s="328" t="s">
        <v>471</v>
      </c>
      <c r="B137" s="327" t="s">
        <v>472</v>
      </c>
      <c r="C137" s="327" t="s">
        <v>473</v>
      </c>
      <c r="D137" s="327" t="s">
        <v>474</v>
      </c>
      <c r="E137" s="327" t="str">
        <f>tabIdiomas[[#This Row],[Cadena]]</f>
        <v>Enerxía Xerada (KWh) por KWp de Potencia Instalada ao Ano (Determinación Manual)</v>
      </c>
    </row>
    <row r="138" spans="1:5" ht="29" x14ac:dyDescent="0.35">
      <c r="A138" s="328" t="s">
        <v>475</v>
      </c>
      <c r="B138" s="327" t="s">
        <v>476</v>
      </c>
      <c r="C138" s="327" t="s">
        <v>477</v>
      </c>
      <c r="D138" s="327" t="s">
        <v>478</v>
      </c>
      <c r="E138" s="327" t="str">
        <f>tabIdiomas[[#This Row],[Cadena]]</f>
        <v>Consumo Eléctrico Mensual (KWh) do Socio Promedio Tipo (Determinación Manual)</v>
      </c>
    </row>
    <row r="139" spans="1:5" ht="29" x14ac:dyDescent="0.35">
      <c r="A139" s="328" t="s">
        <v>479</v>
      </c>
      <c r="B139" s="327" t="s">
        <v>706</v>
      </c>
      <c r="C139" s="327" t="s">
        <v>480</v>
      </c>
      <c r="D139" s="327" t="s">
        <v>481</v>
      </c>
      <c r="E139" s="327" t="str">
        <f>tabIdiomas[[#This Row],[Cadena]]</f>
        <v>Desglose de Gastos en Asesoramento e Xestoría (Outros Servizos)</v>
      </c>
    </row>
    <row r="140" spans="1:5" x14ac:dyDescent="0.35">
      <c r="A140" s="328" t="s">
        <v>482</v>
      </c>
      <c r="B140" s="327" t="s">
        <v>483</v>
      </c>
      <c r="C140" s="327" t="s">
        <v>484</v>
      </c>
      <c r="D140" s="327" t="s">
        <v>485</v>
      </c>
      <c r="E140" s="327" t="str">
        <f>tabIdiomas[[#This Row],[Cadena]]</f>
        <v>Xestión da Entidade (Ata 25 Socios)</v>
      </c>
    </row>
    <row r="141" spans="1:5" x14ac:dyDescent="0.35">
      <c r="A141" s="328" t="s">
        <v>486</v>
      </c>
      <c r="B141" s="327" t="s">
        <v>709</v>
      </c>
      <c r="C141" s="327" t="s">
        <v>487</v>
      </c>
      <c r="D141" s="327" t="s">
        <v>486</v>
      </c>
      <c r="E141" s="327" t="str">
        <f>tabIdiomas[[#This Row],[Cadena]]</f>
        <v>Monitoring Socios</v>
      </c>
    </row>
    <row r="142" spans="1:5" ht="43.5" x14ac:dyDescent="0.35">
      <c r="A142" s="328" t="s">
        <v>488</v>
      </c>
      <c r="B142" s="327" t="s">
        <v>710</v>
      </c>
      <c r="C142" s="327" t="s">
        <v>489</v>
      </c>
      <c r="D142" s="327" t="s">
        <v>490</v>
      </c>
      <c r="E142" s="327" t="str">
        <f>tabIdiomas[[#This Row],[Cadena]]</f>
        <v>Asesoramento Contable, Fiscal e Outros</v>
      </c>
    </row>
    <row r="143" spans="1:5" x14ac:dyDescent="0.35">
      <c r="A143" s="328" t="s">
        <v>491</v>
      </c>
      <c r="B143" s="327" t="s">
        <v>707</v>
      </c>
      <c r="C143" s="327" t="s">
        <v>492</v>
      </c>
      <c r="D143" s="327" t="s">
        <v>491</v>
      </c>
      <c r="E143" s="327" t="str">
        <f>tabIdiomas[[#This Row],[Cadena]]</f>
        <v>Imp. Mens. Por Socio (€)</v>
      </c>
    </row>
    <row r="144" spans="1:5" x14ac:dyDescent="0.35">
      <c r="A144" s="328" t="s">
        <v>493</v>
      </c>
      <c r="B144" s="327" t="s">
        <v>708</v>
      </c>
      <c r="C144" s="327" t="s">
        <v>494</v>
      </c>
      <c r="D144" s="327" t="s">
        <v>493</v>
      </c>
      <c r="E144" s="327" t="str">
        <f>tabIdiomas[[#This Row],[Cadena]]</f>
        <v>Importe Mensual (€)</v>
      </c>
    </row>
    <row r="145" spans="1:5" ht="58" x14ac:dyDescent="0.35">
      <c r="A145" s="328" t="s">
        <v>495</v>
      </c>
      <c r="B145" s="327" t="s">
        <v>711</v>
      </c>
      <c r="C145" s="327" t="s">
        <v>496</v>
      </c>
      <c r="D145" s="327" t="s">
        <v>497</v>
      </c>
      <c r="E145" s="327" t="str">
        <f>tabIdiomas[[#This Row],[Cadena]]</f>
        <v>Aplicabilidade do Epígrafe de Gasto 'Gastos Xerais Non Incluídos en Epígrafes Previos' (Mín. Outros Servizos = 5% s/ Cifra de Negocios)</v>
      </c>
    </row>
    <row r="146" spans="1:5" ht="29" x14ac:dyDescent="0.35">
      <c r="A146" s="328" t="s">
        <v>498</v>
      </c>
      <c r="B146" s="327" t="s">
        <v>712</v>
      </c>
      <c r="C146" s="327" t="s">
        <v>499</v>
      </c>
      <c r="D146" s="327" t="s">
        <v>500</v>
      </c>
      <c r="E146" s="327" t="str">
        <f>tabIdiomas[[#This Row],[Cadena]]</f>
        <v>Amortización Considerada Como Custo (Si/Non)</v>
      </c>
    </row>
    <row r="147" spans="1:5" ht="43.5" x14ac:dyDescent="0.35">
      <c r="A147" s="328" t="s">
        <v>501</v>
      </c>
      <c r="B147" s="327" t="s">
        <v>713</v>
      </c>
      <c r="C147" s="327" t="s">
        <v>502</v>
      </c>
      <c r="D147" s="327" t="s">
        <v>503</v>
      </c>
      <c r="E147" s="327" t="str">
        <f>tabIdiomas[[#This Row],[Cadena]]</f>
        <v>Garantías, Taxas Autonómicas, Municipais e Outras Obrigas Tributarias</v>
      </c>
    </row>
    <row r="148" spans="1:5" ht="43.5" x14ac:dyDescent="0.35">
      <c r="A148" s="328" t="s">
        <v>504</v>
      </c>
      <c r="B148" s="327" t="s">
        <v>717</v>
      </c>
      <c r="C148" s="327" t="s">
        <v>505</v>
      </c>
      <c r="D148" s="327" t="s">
        <v>506</v>
      </c>
      <c r="E148" s="327" t="str">
        <f>tabIdiomas[[#This Row],[Cadena]]</f>
        <v>Garantía Económica para Tramitación da Solicitude de Acceso e Conexión á Rede (40€/KW)</v>
      </c>
    </row>
    <row r="149" spans="1:5" ht="43.5" x14ac:dyDescent="0.35">
      <c r="A149" s="328" t="s">
        <v>507</v>
      </c>
      <c r="B149" s="327" t="s">
        <v>718</v>
      </c>
      <c r="C149" s="327" t="s">
        <v>508</v>
      </c>
      <c r="D149" s="327" t="s">
        <v>509</v>
      </c>
      <c r="E149" s="327" t="str">
        <f>tabIdiomas[[#This Row],[Cadena]]</f>
        <v>Taxa Autonómica por Inscrición en Rexistros Oficiais -Primeira Inscrición- (30.02.00 Anexo 1)</v>
      </c>
    </row>
    <row r="150" spans="1:5" ht="29" x14ac:dyDescent="0.35">
      <c r="A150" s="328" t="s">
        <v>510</v>
      </c>
      <c r="B150" s="327" t="s">
        <v>719</v>
      </c>
      <c r="C150" s="327" t="s">
        <v>511</v>
      </c>
      <c r="D150" s="327" t="s">
        <v>512</v>
      </c>
      <c r="E150" s="327" t="str">
        <f>tabIdiomas[[#This Row],[Cadena]]</f>
        <v>Taxa por Licencia Urbanística (Municipal)</v>
      </c>
    </row>
    <row r="151" spans="1:5" ht="29" x14ac:dyDescent="0.35">
      <c r="A151" s="328" t="s">
        <v>513</v>
      </c>
      <c r="B151" s="327" t="s">
        <v>720</v>
      </c>
      <c r="C151" s="327" t="s">
        <v>514</v>
      </c>
      <c r="D151" s="327" t="s">
        <v>515</v>
      </c>
      <c r="E151" s="327" t="str">
        <f>tabIdiomas[[#This Row],[Cadena]]</f>
        <v>Imposto sobre Construccións, Instalacións e Obras</v>
      </c>
    </row>
    <row r="152" spans="1:5" x14ac:dyDescent="0.35">
      <c r="A152" s="328" t="s">
        <v>516</v>
      </c>
      <c r="B152" s="327" t="s">
        <v>721</v>
      </c>
      <c r="C152" s="327" t="s">
        <v>517</v>
      </c>
      <c r="D152" s="327" t="s">
        <v>518</v>
      </c>
      <c r="E152" s="327" t="str">
        <f>tabIdiomas[[#This Row],[Cadena]]</f>
        <v>Taxa por Obtención de Licencia de Actividade</v>
      </c>
    </row>
    <row r="153" spans="1:5" x14ac:dyDescent="0.35">
      <c r="A153" s="328" t="s">
        <v>519</v>
      </c>
      <c r="B153" s="327" t="s">
        <v>722</v>
      </c>
      <c r="C153" s="327" t="s">
        <v>520</v>
      </c>
      <c r="D153" s="327" t="s">
        <v>521</v>
      </c>
      <c r="E153" s="327" t="str">
        <f>tabIdiomas[[#This Row],[Cadena]]</f>
        <v>Outras Obrigas Tributarias</v>
      </c>
    </row>
    <row r="154" spans="1:5" ht="58" x14ac:dyDescent="0.35">
      <c r="A154" s="328" t="s">
        <v>522</v>
      </c>
      <c r="B154" s="327" t="s">
        <v>523</v>
      </c>
      <c r="C154" s="327" t="s">
        <v>524</v>
      </c>
      <c r="D154" s="327" t="s">
        <v>525</v>
      </c>
      <c r="E154" s="327" t="str">
        <f>tabIdiomas[[#This Row],[Cadena]]</f>
        <v>Comprobacións Introdución Manual de Ratio de Produción e de Consumo do Socio Tipo cando a instalación NON se atopa en Galicia</v>
      </c>
    </row>
    <row r="155" spans="1:5" x14ac:dyDescent="0.35">
      <c r="A155" s="328" t="s">
        <v>526</v>
      </c>
      <c r="B155" s="327" t="s">
        <v>527</v>
      </c>
      <c r="C155" s="327" t="s">
        <v>528</v>
      </c>
      <c r="D155" s="327" t="s">
        <v>529</v>
      </c>
      <c r="E155" s="327" t="str">
        <f>tabIdiomas[[#This Row],[Cadena]]</f>
        <v>Prégase, NON CUBRIR:</v>
      </c>
    </row>
    <row r="156" spans="1:5" ht="43.5" x14ac:dyDescent="0.35">
      <c r="A156" s="328" t="s">
        <v>530</v>
      </c>
      <c r="B156" s="327" t="s">
        <v>531</v>
      </c>
      <c r="C156" s="327" t="s">
        <v>532</v>
      </c>
      <c r="D156" s="327" t="s">
        <v>533</v>
      </c>
      <c r="E156" s="327" t="str">
        <f>tabIdiomas[[#This Row],[Cadena]]</f>
        <v>Introdución Manual Enerxía Xerada por KWp Instalado</v>
      </c>
    </row>
    <row r="157" spans="1:5" ht="29" x14ac:dyDescent="0.35">
      <c r="A157" s="328" t="s">
        <v>534</v>
      </c>
      <c r="B157" s="327" t="s">
        <v>535</v>
      </c>
      <c r="C157" s="327" t="s">
        <v>536</v>
      </c>
      <c r="D157" s="327" t="s">
        <v>537</v>
      </c>
      <c r="E157" s="327" t="str">
        <f>tabIdiomas[[#This Row],[Cadena]]</f>
        <v>Introdución Manual do Consumo Mensual do Socio Tipo</v>
      </c>
    </row>
    <row r="158" spans="1:5" x14ac:dyDescent="0.35">
      <c r="A158" s="329" t="s">
        <v>538</v>
      </c>
      <c r="B158" s="327" t="s">
        <v>539</v>
      </c>
      <c r="C158" s="327" t="s">
        <v>540</v>
      </c>
      <c r="D158" s="327" t="s">
        <v>538</v>
      </c>
      <c r="E158" s="327" t="str">
        <f>tabIdiomas[[#This Row],[Cadena]]</f>
        <v>Verificación Correcta</v>
      </c>
    </row>
    <row r="159" spans="1:5" x14ac:dyDescent="0.35">
      <c r="A159" s="329" t="s">
        <v>541</v>
      </c>
      <c r="B159" s="327" t="s">
        <v>542</v>
      </c>
      <c r="C159" s="327" t="s">
        <v>543</v>
      </c>
      <c r="D159" s="327" t="s">
        <v>544</v>
      </c>
      <c r="E159" s="327" t="str">
        <f>tabIdiomas[[#This Row],[Cadena]]</f>
        <v>Verificación Non Aplicable</v>
      </c>
    </row>
    <row r="160" spans="1:5" x14ac:dyDescent="0.35">
      <c r="A160" s="329" t="s">
        <v>545</v>
      </c>
      <c r="B160" s="327" t="s">
        <v>546</v>
      </c>
      <c r="C160" s="327" t="s">
        <v>547</v>
      </c>
      <c r="D160" s="327" t="s">
        <v>545</v>
      </c>
      <c r="E160" s="327" t="str">
        <f>tabIdiomas[[#This Row],[Cadena]]</f>
        <v>Verificación Errónea</v>
      </c>
    </row>
    <row r="161" spans="1:5" x14ac:dyDescent="0.35">
      <c r="A161" s="328" t="s">
        <v>548</v>
      </c>
      <c r="B161" s="327" t="s">
        <v>549</v>
      </c>
      <c r="C161" s="327" t="s">
        <v>550</v>
      </c>
      <c r="D161" s="327" t="s">
        <v>551</v>
      </c>
      <c r="E161" s="327" t="str">
        <f>tabIdiomas[[#This Row],[Cadena]]</f>
        <v>Base Impoñible</v>
      </c>
    </row>
    <row r="162" spans="1:5" x14ac:dyDescent="0.35">
      <c r="A162" s="328" t="s">
        <v>552</v>
      </c>
      <c r="B162" s="327" t="s">
        <v>714</v>
      </c>
      <c r="C162" s="327" t="s">
        <v>553</v>
      </c>
      <c r="D162" s="327" t="s">
        <v>554</v>
      </c>
      <c r="E162" s="327" t="str">
        <f>tabIdiomas[[#This Row],[Cadena]]</f>
        <v>Tipo de Gravame</v>
      </c>
    </row>
    <row r="163" spans="1:5" ht="29" x14ac:dyDescent="0.35">
      <c r="A163" s="328" t="s">
        <v>555</v>
      </c>
      <c r="B163" s="327" t="s">
        <v>715</v>
      </c>
      <c r="C163" s="327" t="s">
        <v>556</v>
      </c>
      <c r="D163" s="327" t="s">
        <v>557</v>
      </c>
      <c r="E163" s="327" t="str">
        <f>tabIdiomas[[#This Row],[Cadena]]</f>
        <v>Cota Tributaria Íntegra</v>
      </c>
    </row>
    <row r="164" spans="1:5" ht="29" x14ac:dyDescent="0.35">
      <c r="A164" s="328" t="s">
        <v>558</v>
      </c>
      <c r="B164" s="327" t="s">
        <v>716</v>
      </c>
      <c r="C164" s="327" t="s">
        <v>559</v>
      </c>
      <c r="D164" s="327" t="s">
        <v>560</v>
      </c>
      <c r="E164" s="327" t="str">
        <f>tabIdiomas[[#This Row],[Cadena]]</f>
        <v>Deduc. Ou Bonif. sobre a Cota</v>
      </c>
    </row>
    <row r="165" spans="1:5" x14ac:dyDescent="0.35">
      <c r="A165" s="328" t="s">
        <v>561</v>
      </c>
      <c r="B165" s="327" t="s">
        <v>562</v>
      </c>
      <c r="C165" s="327" t="s">
        <v>563</v>
      </c>
      <c r="D165" s="327" t="s">
        <v>564</v>
      </c>
      <c r="E165" s="327" t="str">
        <f>tabIdiomas[[#This Row],[Cadena]]</f>
        <v>Aplicabilidade</v>
      </c>
    </row>
    <row r="166" spans="1:5" ht="29" x14ac:dyDescent="0.35">
      <c r="A166" s="328" t="s">
        <v>565</v>
      </c>
      <c r="B166" s="327" t="s">
        <v>723</v>
      </c>
      <c r="C166" s="327" t="s">
        <v>566</v>
      </c>
      <c r="D166" s="327" t="s">
        <v>567</v>
      </c>
      <c r="E166" s="327" t="str">
        <f>tabIdiomas[[#This Row],[Cadena]]</f>
        <v>Outras Perdas en Xestión Corrente</v>
      </c>
    </row>
    <row r="167" spans="1:5" x14ac:dyDescent="0.35">
      <c r="A167" s="328" t="s">
        <v>568</v>
      </c>
      <c r="B167" s="327" t="s">
        <v>569</v>
      </c>
      <c r="C167" s="327" t="s">
        <v>570</v>
      </c>
      <c r="D167" s="327" t="s">
        <v>568</v>
      </c>
      <c r="E167" s="327" t="str">
        <f>tabIdiomas[[#This Row],[Cadena]]</f>
        <v>Concepto</v>
      </c>
    </row>
    <row r="168" spans="1:5" x14ac:dyDescent="0.35">
      <c r="A168" s="328" t="s">
        <v>571</v>
      </c>
      <c r="B168" s="327" t="s">
        <v>681</v>
      </c>
      <c r="C168" s="327" t="s">
        <v>572</v>
      </c>
      <c r="D168" s="327" t="s">
        <v>573</v>
      </c>
      <c r="E168" s="327" t="str">
        <f>tabIdiomas[[#This Row],[Cadena]]</f>
        <v>Termo de Potencia (P1)</v>
      </c>
    </row>
    <row r="169" spans="1:5" x14ac:dyDescent="0.35">
      <c r="A169" s="328" t="s">
        <v>574</v>
      </c>
      <c r="B169" s="327" t="s">
        <v>682</v>
      </c>
      <c r="C169" s="327" t="s">
        <v>575</v>
      </c>
      <c r="D169" s="327" t="s">
        <v>576</v>
      </c>
      <c r="E169" s="327" t="str">
        <f>tabIdiomas[[#This Row],[Cadena]]</f>
        <v>Termo de Potencia (P2)</v>
      </c>
    </row>
    <row r="170" spans="1:5" ht="29" x14ac:dyDescent="0.35">
      <c r="A170" s="328" t="s">
        <v>577</v>
      </c>
      <c r="B170" s="327" t="s">
        <v>683</v>
      </c>
      <c r="C170" s="327" t="s">
        <v>578</v>
      </c>
      <c r="D170" s="327" t="s">
        <v>577</v>
      </c>
      <c r="E170" s="327" t="str">
        <f>tabIdiomas[[#This Row],[Cadena]]</f>
        <v>Financiación Bono Social</v>
      </c>
    </row>
    <row r="171" spans="1:5" ht="29" x14ac:dyDescent="0.35">
      <c r="A171" s="328" t="s">
        <v>579</v>
      </c>
      <c r="B171" s="327" t="s">
        <v>684</v>
      </c>
      <c r="C171" s="327" t="s">
        <v>580</v>
      </c>
      <c r="D171" s="327" t="s">
        <v>581</v>
      </c>
      <c r="E171" s="327" t="str">
        <f>tabIdiomas[[#This Row],[Cadena]]</f>
        <v>Imposto sobre a Electricidade (Tipo Habitual)</v>
      </c>
    </row>
    <row r="172" spans="1:5" ht="29" x14ac:dyDescent="0.35">
      <c r="A172" s="328" t="s">
        <v>582</v>
      </c>
      <c r="B172" s="327" t="s">
        <v>685</v>
      </c>
      <c r="C172" s="327" t="s">
        <v>583</v>
      </c>
      <c r="D172" s="327" t="s">
        <v>584</v>
      </c>
      <c r="E172" s="327" t="str">
        <f>tabIdiomas[[#This Row],[Cadena]]</f>
        <v>Imposto sobre a Electricidade (Tipo Reducido Temporalmente)</v>
      </c>
    </row>
    <row r="173" spans="1:5" x14ac:dyDescent="0.35">
      <c r="A173" s="328" t="s">
        <v>585</v>
      </c>
      <c r="B173" s="327" t="s">
        <v>686</v>
      </c>
      <c r="C173" s="327" t="s">
        <v>586</v>
      </c>
      <c r="D173" s="327" t="s">
        <v>587</v>
      </c>
      <c r="E173" s="327" t="str">
        <f>tabIdiomas[[#This Row],[Cadena]]</f>
        <v>Aluguer do contador</v>
      </c>
    </row>
    <row r="174" spans="1:5" x14ac:dyDescent="0.35">
      <c r="A174" s="328" t="s">
        <v>588</v>
      </c>
      <c r="B174" s="327" t="s">
        <v>618</v>
      </c>
      <c r="C174" s="327" t="s">
        <v>589</v>
      </c>
      <c r="D174" s="327" t="s">
        <v>590</v>
      </c>
      <c r="E174" s="327" t="str">
        <f>tabIdiomas[[#This Row],[Cadena]]</f>
        <v>IVE (Tipo Habitual)</v>
      </c>
    </row>
    <row r="175" spans="1:5" x14ac:dyDescent="0.35">
      <c r="A175" s="328" t="s">
        <v>591</v>
      </c>
      <c r="B175" s="327" t="s">
        <v>688</v>
      </c>
      <c r="C175" s="327" t="s">
        <v>16</v>
      </c>
      <c r="D175" s="327" t="s">
        <v>592</v>
      </c>
      <c r="E175" s="327" t="str">
        <f>tabIdiomas[[#This Row],[Cadena]]</f>
        <v>IVE (Tipo Reducido Electricidade)</v>
      </c>
    </row>
    <row r="176" spans="1:5" ht="29" x14ac:dyDescent="0.35">
      <c r="A176" s="328" t="s">
        <v>593</v>
      </c>
      <c r="B176" s="327" t="s">
        <v>689</v>
      </c>
      <c r="C176" s="327" t="s">
        <v>594</v>
      </c>
      <c r="D176" s="327" t="s">
        <v>595</v>
      </c>
      <c r="E176" s="327" t="str">
        <f>tabIdiomas[[#This Row],[Cadena]]</f>
        <v>IVE (Tipo Super-Reducido Electr.)</v>
      </c>
    </row>
    <row r="177" spans="1:5" x14ac:dyDescent="0.35">
      <c r="A177" s="329" t="s">
        <v>596</v>
      </c>
      <c r="B177" s="327" t="s">
        <v>679</v>
      </c>
      <c r="C177" s="327" t="s">
        <v>597</v>
      </c>
      <c r="D177" s="327" t="s">
        <v>596</v>
      </c>
      <c r="E177" s="327" t="str">
        <f>tabIdiomas[[#This Row],[Cadena]]</f>
        <v>Valor</v>
      </c>
    </row>
    <row r="178" spans="1:5" x14ac:dyDescent="0.35">
      <c r="A178" s="328" t="s">
        <v>598</v>
      </c>
      <c r="B178" s="327" t="s">
        <v>599</v>
      </c>
      <c r="C178" s="327" t="s">
        <v>600</v>
      </c>
      <c r="D178" s="327" t="s">
        <v>601</v>
      </c>
      <c r="E178" s="327" t="str">
        <f>tabIdiomas[[#This Row],[Cadena]]</f>
        <v>Unidade</v>
      </c>
    </row>
    <row r="179" spans="1:5" x14ac:dyDescent="0.35">
      <c r="A179" s="328" t="s">
        <v>602</v>
      </c>
      <c r="B179" s="327" t="s">
        <v>690</v>
      </c>
      <c r="C179" s="327" t="s">
        <v>603</v>
      </c>
      <c r="D179" s="327" t="s">
        <v>604</v>
      </c>
      <c r="E179" s="327" t="str">
        <f>tabIdiomas[[#This Row],[Cadena]]</f>
        <v>€/KW e día</v>
      </c>
    </row>
    <row r="180" spans="1:5" x14ac:dyDescent="0.35">
      <c r="A180" s="328" t="s">
        <v>605</v>
      </c>
      <c r="B180" s="327" t="s">
        <v>691</v>
      </c>
      <c r="C180" s="327" t="s">
        <v>606</v>
      </c>
      <c r="D180" s="327" t="s">
        <v>605</v>
      </c>
      <c r="E180" s="327" t="str">
        <f>tabIdiomas[[#This Row],[Cadena]]</f>
        <v>€/día</v>
      </c>
    </row>
    <row r="181" spans="1:5" x14ac:dyDescent="0.35">
      <c r="A181" s="328" t="s">
        <v>607</v>
      </c>
      <c r="B181" s="327" t="s">
        <v>608</v>
      </c>
      <c r="C181" s="327" t="s">
        <v>609</v>
      </c>
      <c r="D181" s="327" t="s">
        <v>607</v>
      </c>
      <c r="E181" s="327" t="str">
        <f>tabIdiomas[[#This Row],[Cadena]]</f>
        <v>% s/ Suma Conceptos Previos</v>
      </c>
    </row>
    <row r="182" spans="1:5" x14ac:dyDescent="0.35">
      <c r="A182" s="328" t="s">
        <v>610</v>
      </c>
      <c r="B182" s="327" t="s">
        <v>724</v>
      </c>
      <c r="C182" s="327" t="s">
        <v>611</v>
      </c>
      <c r="D182" s="327" t="s">
        <v>610</v>
      </c>
      <c r="E182" s="327" t="str">
        <f>tabIdiomas[[#This Row],[Cadena]]</f>
        <v>% s/ BI (Suma Conceptos Previos)</v>
      </c>
    </row>
    <row r="183" spans="1:5" ht="29" x14ac:dyDescent="0.35">
      <c r="A183" s="329" t="s">
        <v>612</v>
      </c>
      <c r="B183" s="327" t="s">
        <v>693</v>
      </c>
      <c r="C183" s="327" t="s">
        <v>613</v>
      </c>
      <c r="D183" s="327" t="s">
        <v>612</v>
      </c>
      <c r="E183" s="327" t="str">
        <f>tabIdiomas[[#This Row],[Cadena]]</f>
        <v>Potencia Contratada por Cada Socio Individual</v>
      </c>
    </row>
    <row r="184" spans="1:5" x14ac:dyDescent="0.35">
      <c r="A184" s="329" t="s">
        <v>614</v>
      </c>
      <c r="B184" s="327" t="s">
        <v>695</v>
      </c>
      <c r="C184" s="327" t="s">
        <v>615</v>
      </c>
      <c r="D184" s="327" t="s">
        <v>616</v>
      </c>
      <c r="E184" s="327" t="s">
        <v>617</v>
      </c>
    </row>
    <row r="185" spans="1:5" x14ac:dyDescent="0.35">
      <c r="A185" s="329" t="s">
        <v>18</v>
      </c>
      <c r="B185" s="327" t="s">
        <v>618</v>
      </c>
      <c r="C185" s="327" t="s">
        <v>589</v>
      </c>
      <c r="D185" s="327" t="s">
        <v>590</v>
      </c>
      <c r="E185" s="327" t="s">
        <v>588</v>
      </c>
    </row>
    <row r="186" spans="1:5" x14ac:dyDescent="0.35">
      <c r="A186" s="329" t="s">
        <v>19</v>
      </c>
      <c r="B186" s="327" t="s">
        <v>619</v>
      </c>
      <c r="C186" s="327" t="s">
        <v>16</v>
      </c>
      <c r="D186" s="327" t="s">
        <v>592</v>
      </c>
      <c r="E186" s="327" t="s">
        <v>591</v>
      </c>
    </row>
    <row r="187" spans="1:5" ht="29" x14ac:dyDescent="0.35">
      <c r="A187" s="329" t="s">
        <v>20</v>
      </c>
      <c r="B187" s="327" t="s">
        <v>620</v>
      </c>
      <c r="C187" s="327" t="s">
        <v>594</v>
      </c>
      <c r="D187" s="327" t="s">
        <v>595</v>
      </c>
      <c r="E187" s="327" t="s">
        <v>621</v>
      </c>
    </row>
    <row r="188" spans="1:5" x14ac:dyDescent="0.35">
      <c r="A188" s="329" t="s">
        <v>622</v>
      </c>
      <c r="B188" s="327" t="s">
        <v>622</v>
      </c>
      <c r="C188" s="327" t="s">
        <v>622</v>
      </c>
      <c r="D188" s="327" t="s">
        <v>622</v>
      </c>
      <c r="E188" s="327" t="str">
        <f>tabIdiomas[[#This Row],[Cadena]]</f>
        <v>KW</v>
      </c>
    </row>
    <row r="189" spans="1:5" ht="29" x14ac:dyDescent="0.35">
      <c r="A189" s="329" t="s">
        <v>623</v>
      </c>
      <c r="B189" s="327" t="s">
        <v>624</v>
      </c>
      <c r="C189" s="327" t="s">
        <v>625</v>
      </c>
      <c r="D189" s="327" t="s">
        <v>626</v>
      </c>
      <c r="E189" s="327" t="str">
        <f>tabIdiomas[[#This Row],[Cadena]]</f>
        <v>Imposto s/Electricidade Reducido? (Si / Non)</v>
      </c>
    </row>
    <row r="190" spans="1:5" ht="43.5" x14ac:dyDescent="0.35">
      <c r="A190" s="329" t="s">
        <v>627</v>
      </c>
      <c r="B190" s="327" t="s">
        <v>696</v>
      </c>
      <c r="C190" s="327" t="s">
        <v>628</v>
      </c>
      <c r="D190" s="327" t="s">
        <v>629</v>
      </c>
      <c r="E190" s="327" t="str">
        <f>tabIdiomas[[#This Row],[Cadena]]</f>
        <v>Hipóteses Participación Heteroxénea (Distrib. Aleatoria dos Consumos)</v>
      </c>
    </row>
    <row r="191" spans="1:5" ht="29" x14ac:dyDescent="0.35">
      <c r="A191" s="329" t="s">
        <v>630</v>
      </c>
      <c r="B191" s="327" t="s">
        <v>631</v>
      </c>
      <c r="C191" s="327" t="s">
        <v>632</v>
      </c>
      <c r="D191" s="327" t="s">
        <v>630</v>
      </c>
      <c r="E191" s="327" t="str">
        <f>tabIdiomas[[#This Row],[Cadena]]</f>
        <v>Consumo Mensual Máximo de Cada Socio Individual (KWh)</v>
      </c>
    </row>
    <row r="192" spans="1:5" ht="29" x14ac:dyDescent="0.35">
      <c r="A192" s="329" t="s">
        <v>633</v>
      </c>
      <c r="B192" s="327" t="s">
        <v>634</v>
      </c>
      <c r="C192" s="327" t="s">
        <v>635</v>
      </c>
      <c r="D192" s="327" t="s">
        <v>633</v>
      </c>
      <c r="E192" s="327" t="str">
        <f>tabIdiomas[[#This Row],[Cadena]]</f>
        <v>Consumo Mensual Mínimo de Cada Socio Individual (KWh)</v>
      </c>
    </row>
  </sheetData>
  <printOptions horizontalCentered="1" headings="1"/>
  <pageMargins left="0.31496062992125984" right="0.31496062992125984" top="0.55118110236220474" bottom="0.55118110236220474" header="0.31496062992125984" footer="0.31496062992125984"/>
  <pageSetup paperSize="9" scale="47" fitToHeight="0" orientation="portrait" horizontalDpi="1200" verticalDpi="120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70281-8CAD-4FA5-BCE6-A161FC11CA8E}">
  <sheetPr>
    <tabColor rgb="FFFFFF00"/>
  </sheetPr>
  <dimension ref="A1:AZ6"/>
  <sheetViews>
    <sheetView topLeftCell="L1" workbookViewId="0">
      <selection activeCell="F2" sqref="F2"/>
    </sheetView>
  </sheetViews>
  <sheetFormatPr baseColWidth="10" defaultColWidth="11.453125" defaultRowHeight="14.5" x14ac:dyDescent="0.35"/>
  <cols>
    <col min="1" max="1" width="20.81640625" bestFit="1" customWidth="1"/>
    <col min="2" max="2" width="20.1796875" bestFit="1" customWidth="1"/>
    <col min="3" max="3" width="20.81640625" bestFit="1" customWidth="1"/>
    <col min="4" max="4" width="20.1796875" bestFit="1" customWidth="1"/>
    <col min="12" max="12" width="20.1796875" bestFit="1" customWidth="1"/>
    <col min="14" max="14" width="20.1796875" bestFit="1" customWidth="1"/>
    <col min="15" max="15" width="26.1796875" bestFit="1" customWidth="1"/>
    <col min="16" max="16" width="20.1796875" bestFit="1" customWidth="1"/>
    <col min="18" max="18" width="20.1796875" bestFit="1" customWidth="1"/>
    <col min="19" max="19" width="24.81640625" customWidth="1"/>
    <col min="20" max="20" width="20.1796875" bestFit="1" customWidth="1"/>
    <col min="21" max="21" width="13.453125" customWidth="1"/>
    <col min="22" max="22" width="21.81640625" bestFit="1" customWidth="1"/>
    <col min="23" max="23" width="16.453125" customWidth="1"/>
    <col min="24" max="24" width="21.81640625" bestFit="1" customWidth="1"/>
    <col min="27" max="27" width="30.81640625" customWidth="1"/>
    <col min="28" max="28" width="7.81640625" customWidth="1"/>
    <col min="29" max="29" width="19.81640625" customWidth="1"/>
    <col min="30" max="30" width="24.1796875" customWidth="1"/>
    <col min="33" max="33" width="41.453125" customWidth="1"/>
    <col min="34" max="34" width="24.54296875" customWidth="1"/>
    <col min="35" max="35" width="17.1796875" customWidth="1"/>
    <col min="36" max="36" width="20.1796875" customWidth="1"/>
    <col min="38" max="38" width="20.81640625" customWidth="1"/>
    <col min="42" max="42" width="14.1796875" customWidth="1"/>
    <col min="47" max="47" width="26.1796875" customWidth="1"/>
    <col min="48" max="48" width="18.81640625" customWidth="1"/>
    <col min="49" max="49" width="25.81640625" customWidth="1"/>
    <col min="50" max="50" width="23.54296875" customWidth="1"/>
    <col min="51" max="51" width="10.81640625" customWidth="1"/>
    <col min="52" max="52" width="34.1796875" bestFit="1" customWidth="1"/>
  </cols>
  <sheetData>
    <row r="1" spans="1:52" s="10" customFormat="1" ht="43.5" x14ac:dyDescent="0.35">
      <c r="A1" s="10" t="s">
        <v>36</v>
      </c>
      <c r="B1" s="234"/>
      <c r="C1" s="10" t="s">
        <v>50</v>
      </c>
      <c r="D1" s="234"/>
      <c r="E1" s="10" t="s">
        <v>636</v>
      </c>
      <c r="F1" s="234"/>
      <c r="G1" s="10" t="s">
        <v>637</v>
      </c>
      <c r="H1" s="234"/>
      <c r="I1" s="10" t="s">
        <v>638</v>
      </c>
      <c r="J1" s="234"/>
      <c r="K1" s="10" t="s">
        <v>639</v>
      </c>
      <c r="M1" s="235" t="s">
        <v>640</v>
      </c>
      <c r="O1" s="235" t="s">
        <v>641</v>
      </c>
      <c r="Q1" s="235" t="s">
        <v>642</v>
      </c>
      <c r="S1" s="235" t="s">
        <v>643</v>
      </c>
      <c r="U1" s="235" t="s">
        <v>301</v>
      </c>
      <c r="W1" s="235" t="s">
        <v>644</v>
      </c>
      <c r="Y1" s="1831" t="s">
        <v>431</v>
      </c>
      <c r="Z1" s="1832"/>
      <c r="AA1" s="236" t="s">
        <v>645</v>
      </c>
      <c r="AC1" s="1833" t="s">
        <v>495</v>
      </c>
      <c r="AD1" s="1834"/>
      <c r="AE1" s="1827" t="s">
        <v>498</v>
      </c>
      <c r="AF1" s="1828"/>
      <c r="AG1" s="236" t="s">
        <v>646</v>
      </c>
      <c r="AI1" s="1827" t="s">
        <v>504</v>
      </c>
      <c r="AJ1" s="1828"/>
      <c r="AK1" s="1827" t="s">
        <v>507</v>
      </c>
      <c r="AL1" s="1828"/>
      <c r="AM1" s="1827" t="s">
        <v>510</v>
      </c>
      <c r="AN1" s="1828"/>
      <c r="AO1" s="1827" t="s">
        <v>513</v>
      </c>
      <c r="AP1" s="1828"/>
      <c r="AQ1" s="1827" t="s">
        <v>516</v>
      </c>
      <c r="AR1" s="1828"/>
      <c r="AS1" s="1829" t="s">
        <v>519</v>
      </c>
      <c r="AT1" s="1830"/>
      <c r="AU1" s="246" t="s">
        <v>647</v>
      </c>
      <c r="AW1" s="235" t="s">
        <v>625</v>
      </c>
      <c r="AY1" s="235" t="s">
        <v>614</v>
      </c>
    </row>
    <row r="2" spans="1:52" x14ac:dyDescent="0.35">
      <c r="A2" t="s">
        <v>648</v>
      </c>
      <c r="B2" t="s">
        <v>649</v>
      </c>
      <c r="C2" t="s">
        <v>648</v>
      </c>
      <c r="D2" t="s">
        <v>649</v>
      </c>
      <c r="E2" t="s">
        <v>648</v>
      </c>
      <c r="F2" t="s">
        <v>649</v>
      </c>
      <c r="G2" t="s">
        <v>648</v>
      </c>
      <c r="H2" t="s">
        <v>649</v>
      </c>
      <c r="I2" t="s">
        <v>648</v>
      </c>
      <c r="J2" t="s">
        <v>649</v>
      </c>
      <c r="K2" t="s">
        <v>648</v>
      </c>
      <c r="L2" t="s">
        <v>649</v>
      </c>
      <c r="M2" t="s">
        <v>648</v>
      </c>
      <c r="N2" t="s">
        <v>649</v>
      </c>
      <c r="O2" t="s">
        <v>648</v>
      </c>
      <c r="P2" t="s">
        <v>649</v>
      </c>
      <c r="Q2" t="s">
        <v>648</v>
      </c>
      <c r="R2" t="s">
        <v>649</v>
      </c>
      <c r="S2" t="s">
        <v>648</v>
      </c>
      <c r="T2" t="s">
        <v>649</v>
      </c>
      <c r="U2" t="s">
        <v>648</v>
      </c>
      <c r="V2" t="s">
        <v>649</v>
      </c>
      <c r="W2" t="s">
        <v>648</v>
      </c>
      <c r="X2" t="s">
        <v>649</v>
      </c>
      <c r="Y2" t="s">
        <v>648</v>
      </c>
      <c r="Z2" t="s">
        <v>649</v>
      </c>
      <c r="AA2" t="s">
        <v>648</v>
      </c>
      <c r="AB2" t="s">
        <v>649</v>
      </c>
      <c r="AC2" t="s">
        <v>648</v>
      </c>
      <c r="AD2" t="s">
        <v>649</v>
      </c>
      <c r="AE2" t="s">
        <v>648</v>
      </c>
      <c r="AF2" t="s">
        <v>649</v>
      </c>
      <c r="AG2" t="s">
        <v>648</v>
      </c>
      <c r="AH2" t="s">
        <v>649</v>
      </c>
      <c r="AI2" t="s">
        <v>648</v>
      </c>
      <c r="AJ2" t="s">
        <v>649</v>
      </c>
      <c r="AK2" t="s">
        <v>648</v>
      </c>
      <c r="AL2" t="s">
        <v>649</v>
      </c>
      <c r="AM2" t="s">
        <v>648</v>
      </c>
      <c r="AN2" t="s">
        <v>649</v>
      </c>
      <c r="AO2" t="s">
        <v>648</v>
      </c>
      <c r="AP2" t="s">
        <v>649</v>
      </c>
      <c r="AQ2" t="s">
        <v>648</v>
      </c>
      <c r="AR2" t="s">
        <v>649</v>
      </c>
      <c r="AS2" t="s">
        <v>648</v>
      </c>
      <c r="AT2" t="s">
        <v>649</v>
      </c>
      <c r="AU2" t="s">
        <v>648</v>
      </c>
      <c r="AV2" t="s">
        <v>649</v>
      </c>
      <c r="AW2" t="s">
        <v>648</v>
      </c>
      <c r="AX2" t="s">
        <v>649</v>
      </c>
      <c r="AY2" t="s">
        <v>648</v>
      </c>
      <c r="AZ2" t="s">
        <v>649</v>
      </c>
    </row>
    <row r="3" spans="1:52" x14ac:dyDescent="0.35">
      <c r="A3" t="s">
        <v>1</v>
      </c>
      <c r="B3" t="str">
        <f>VLOOKUP(tabRespPreg1[[#This Row],[Respuestas Pregunta]],tabIdiomas[],MATCH('General Hipotheses (INTRO)'!$D$2,tabIdiomas[#Headers],0),FALSE)</f>
        <v>Galicia</v>
      </c>
      <c r="C3" t="s">
        <v>50</v>
      </c>
      <c r="D3" t="str">
        <f>VLOOKUP(tabRespPreg2[[#This Row],[Respuestas Pregunta]],tabIdiomas[],MATCH('General Hipotheses (INTRO)'!$D$2,tabIdiomas[#Headers],0),FALSE)</f>
        <v>Province</v>
      </c>
      <c r="E3" t="s">
        <v>69</v>
      </c>
      <c r="F3" t="str">
        <f>VLOOKUP(tabRespPreg24_1[[#This Row],[Respuestas Pregunta]],tabIdiomas[],MATCH('General Hipotheses (INTRO)'!$D$2,tabIdiomas[#Headers],0),FALSE)</f>
        <v>A Coruña</v>
      </c>
      <c r="G3" t="s">
        <v>103</v>
      </c>
      <c r="H3" t="str">
        <f>VLOOKUP(tabRespPreg15[[#This Row],[Respuestas Pregunta]],tabIdiomas[],MATCH('General Hipotheses (INTRO)'!$D$2,tabIdiomas[#Headers],0),FALSE)</f>
        <v>Yes</v>
      </c>
      <c r="I3" t="s">
        <v>103</v>
      </c>
      <c r="J3" t="str">
        <f>VLOOKUP(tabRespPreg156[[#This Row],[Respuestas Pregunta]],tabIdiomas[],MATCH('General Hipotheses (INTRO)'!$D$2,tabIdiomas[#Headers],0),FALSE)</f>
        <v>Yes</v>
      </c>
      <c r="K3" t="s">
        <v>165</v>
      </c>
      <c r="L3" t="str">
        <f>VLOOKUP(tabRespPreg1568[[#This Row],[Respuestas Pregunta]],tabIdiomas[],MATCH('General Hipotheses (INTRO)'!$D$2,tabIdiomas[#Headers],0),FALSE)</f>
        <v>Fixed</v>
      </c>
      <c r="M3" t="s">
        <v>103</v>
      </c>
      <c r="N3" t="str">
        <f>VLOOKUP(tabRespPreg1510[[#This Row],[Respuestas Pregunta]],tabIdiomas[],MATCH('General Hipotheses (INTRO)'!$D$2,tabIdiomas[#Headers],0),FALSE)</f>
        <v>Yes</v>
      </c>
      <c r="O3" t="s">
        <v>184</v>
      </c>
      <c r="P3" t="str">
        <f>VLOOKUP(tabRespPreg112[[#This Row],[Respuestas Pregunta]],tabIdiomas[],MATCH('General Hipotheses (INTRO)'!$D$2,tabIdiomas[#Headers],0),FALSE)</f>
        <v>Own Staff</v>
      </c>
      <c r="Q3" t="s">
        <v>103</v>
      </c>
      <c r="R3" t="str">
        <f>VLOOKUP(tabRespPreg151013[[#This Row],[Respuestas Pregunta]],tabIdiomas[],MATCH('General Hipotheses (INTRO)'!$D$2,tabIdiomas[#Headers],0),FALSE)</f>
        <v>Yes</v>
      </c>
      <c r="S3" t="s">
        <v>103</v>
      </c>
      <c r="T3" t="str">
        <f>VLOOKUP(tabRespPreg15101314[[#This Row],[Respuestas Pregunta]],tabIdiomas[],MATCH('General Hipotheses (INTRO)'!$D$2,tabIdiomas[#Headers],0),FALSE)</f>
        <v>Yes</v>
      </c>
      <c r="U3" t="s">
        <v>304</v>
      </c>
      <c r="V3" t="str">
        <f>VLOOKUP(tabRespPreg1510131415[[#This Row],[Respuestas Pregunta]],tabIdiomas[],MATCH('General Hipotheses (INTRO)'!$D$2,tabIdiomas[#Headers],0),FALSE)</f>
        <v>Compensation</v>
      </c>
      <c r="W3" t="s">
        <v>103</v>
      </c>
      <c r="X3" t="str">
        <f>VLOOKUP(tabRespPreg1510131416[[#This Row],[Respuestas Pregunta]],tabIdiomas[],MATCH('General Hipotheses (INTRO)'!$D$2,tabIdiomas[#Headers],0),FALSE)</f>
        <v>Yes</v>
      </c>
      <c r="Y3" t="s">
        <v>103</v>
      </c>
      <c r="Z3" t="str">
        <f>VLOOKUP(tabRespPreg15101314169[[#This Row],[Respuestas Pregunta]],tabIdiomas[],MATCH('General Hipotheses (INTRO)'!$D$2,tabIdiomas[#Headers],0),FALSE)</f>
        <v>Yes</v>
      </c>
      <c r="AA3" t="s">
        <v>103</v>
      </c>
      <c r="AB3" t="str">
        <f>VLOOKUP(tabRespPreg151013141611[[#This Row],[Respuestas Pregunta]],tabIdiomas[],MATCH('General Hipotheses (INTRO)'!$D$2,tabIdiomas[#Headers],0),FALSE)</f>
        <v>Yes</v>
      </c>
      <c r="AC3" t="s">
        <v>103</v>
      </c>
      <c r="AD3" t="str">
        <f>VLOOKUP(tabRespPreg15101314161117[[#This Row],[Respuestas Pregunta]],tabIdiomas[],MATCH('General Hipotheses (INTRO)'!$D$2,tabIdiomas[#Headers],0),FALSE)</f>
        <v>Yes</v>
      </c>
      <c r="AE3" t="s">
        <v>103</v>
      </c>
      <c r="AF3" t="str">
        <f>VLOOKUP(tabRespPreg1510131416111718[[#This Row],[Respuestas Pregunta]],tabIdiomas[],MATCH('General Hipotheses (INTRO)'!$D$2,tabIdiomas[#Headers],0),FALSE)</f>
        <v>Yes</v>
      </c>
      <c r="AG3" t="s">
        <v>467</v>
      </c>
      <c r="AH3" t="str">
        <f>VLOOKUP(tabRespPreg151013141620[[#This Row],[Respuestas Pregunta]],tabIdiomas[],MATCH('General Hipotheses (INTRO)'!$D$2,tabIdiomas[#Headers],0),FALSE)</f>
        <v>Automatic (Only for Galicia)</v>
      </c>
      <c r="AI3" t="s">
        <v>103</v>
      </c>
      <c r="AJ3" t="str">
        <f>VLOOKUP(tabRespPreg151013141611171819[[#This Row],[Respuestas Pregunta]],tabIdiomas[],MATCH('General Hipotheses (INTRO)'!$D$2,tabIdiomas[#Headers],0),FALSE)</f>
        <v>Yes</v>
      </c>
      <c r="AK3" t="s">
        <v>103</v>
      </c>
      <c r="AL3" t="str">
        <f>VLOOKUP(tabRespPreg15101314161117181921[[#This Row],[Respuestas Pregunta]],tabIdiomas[],MATCH('General Hipotheses (INTRO)'!$D$2,tabIdiomas[#Headers],0),FALSE)</f>
        <v>Yes</v>
      </c>
      <c r="AM3" t="s">
        <v>103</v>
      </c>
      <c r="AN3" t="str">
        <f>VLOOKUP(tabRespPreg1510131416111718192122[[#This Row],[Respuestas Pregunta]],tabIdiomas[],MATCH('General Hipotheses (INTRO)'!$D$2,tabIdiomas[#Headers],0),FALSE)</f>
        <v>Yes</v>
      </c>
      <c r="AO3" t="s">
        <v>103</v>
      </c>
      <c r="AP3" t="str">
        <f>VLOOKUP(tabRespPreg151013141611171819212223[[#This Row],[Respuestas Pregunta]],tabIdiomas[],MATCH('General Hipotheses (INTRO)'!$D$2,tabIdiomas[#Headers],0),FALSE)</f>
        <v>Yes</v>
      </c>
      <c r="AQ3" t="s">
        <v>103</v>
      </c>
      <c r="AR3" t="str">
        <f>VLOOKUP(tabRespPreg15101314161117181921222324[[#This Row],[Respuestas Pregunta]],tabIdiomas[],MATCH('General Hipotheses (INTRO)'!$D$2,tabIdiomas[#Headers],0),FALSE)</f>
        <v>Yes</v>
      </c>
      <c r="AS3" t="s">
        <v>103</v>
      </c>
      <c r="AT3" t="str">
        <f>VLOOKUP(tabRespPreg1510131416111718192122232425[[#This Row],[Respuestas Pregunta]],tabIdiomas[],MATCH('General Hipotheses (INTRO)'!$D$2,tabIdiomas[#Headers],0),FALSE)</f>
        <v>Yes</v>
      </c>
      <c r="AU3" t="s">
        <v>538</v>
      </c>
      <c r="AV3" t="str">
        <f>VLOOKUP(tabRespPreg11227[[#This Row],[Respuestas Pregunta]],tabIdiomas[],MATCH('General Hipotheses (INTRO)'!$D$2,tabIdiomas[#Headers],0),FALSE)</f>
        <v>Right Check</v>
      </c>
      <c r="AW3" t="s">
        <v>103</v>
      </c>
      <c r="AX3" t="str">
        <f>VLOOKUP(tabRespPreg151013141611171819212223242528[[#This Row],[Respuestas Pregunta]],tabIdiomas[],MATCH('General Hipotheses (INTRO)'!$D$2,tabIdiomas[#Headers],0),FALSE)</f>
        <v>Yes</v>
      </c>
      <c r="AY3" t="s">
        <v>18</v>
      </c>
      <c r="AZ3" t="str">
        <f>VLOOKUP(tabRespPreg1122729[[#This Row],[Respuestas Pregunta]],tabIdiomas[],MATCH('General Hipotheses (INTRO)'!$D$2,tabIdiomas[#Headers],0),FALSE)</f>
        <v>VAT (Ordinary Tax Rate)</v>
      </c>
    </row>
    <row r="4" spans="1:52" x14ac:dyDescent="0.35">
      <c r="A4" t="s">
        <v>40</v>
      </c>
      <c r="B4" t="str">
        <f>VLOOKUP(tabRespPreg1[[#This Row],[Respuestas Pregunta]],tabIdiomas[],MATCH('General Hipotheses (INTRO)'!$D$2,tabIdiomas[#Headers],0),FALSE)</f>
        <v>Rest of Spain</v>
      </c>
      <c r="E4" t="s">
        <v>70</v>
      </c>
      <c r="F4" t="str">
        <f>VLOOKUP(tabRespPreg24_1[[#This Row],[Respuestas Pregunta]],tabIdiomas[],MATCH('General Hipotheses (INTRO)'!$D$2,tabIdiomas[#Headers],0),FALSE)</f>
        <v>Lugo</v>
      </c>
      <c r="G4" t="s">
        <v>12</v>
      </c>
      <c r="H4" t="str">
        <f>VLOOKUP(tabRespPreg15[[#This Row],[Respuestas Pregunta]],tabIdiomas[],MATCH('General Hipotheses (INTRO)'!$D$2,tabIdiomas[#Headers],0),FALSE)</f>
        <v>No</v>
      </c>
      <c r="I4" t="s">
        <v>12</v>
      </c>
      <c r="J4" t="str">
        <f>VLOOKUP(tabRespPreg156[[#This Row],[Respuestas Pregunta]],tabIdiomas[],MATCH('General Hipotheses (INTRO)'!$D$2,tabIdiomas[#Headers],0),FALSE)</f>
        <v>No</v>
      </c>
      <c r="K4" t="s">
        <v>168</v>
      </c>
      <c r="L4" t="str">
        <f>VLOOKUP(tabRespPreg1568[[#This Row],[Respuestas Pregunta]],tabIdiomas[],MATCH('General Hipotheses (INTRO)'!$D$2,tabIdiomas[#Headers],0),FALSE)</f>
        <v>Proportional</v>
      </c>
      <c r="M4" t="s">
        <v>12</v>
      </c>
      <c r="N4" t="str">
        <f>VLOOKUP(tabRespPreg1510[[#This Row],[Respuestas Pregunta]],tabIdiomas[],MATCH('General Hipotheses (INTRO)'!$D$2,tabIdiomas[#Headers],0),FALSE)</f>
        <v>No</v>
      </c>
      <c r="O4" t="s">
        <v>188</v>
      </c>
      <c r="P4" t="str">
        <f>VLOOKUP(tabRespPreg112[[#This Row],[Respuestas Pregunta]],tabIdiomas[],MATCH('General Hipotheses (INTRO)'!$D$2,tabIdiomas[#Headers],0),FALSE)</f>
        <v>Outsourcing</v>
      </c>
      <c r="Q4" t="s">
        <v>12</v>
      </c>
      <c r="R4" t="str">
        <f>VLOOKUP(tabRespPreg151013[[#This Row],[Respuestas Pregunta]],tabIdiomas[],MATCH('General Hipotheses (INTRO)'!$D$2,tabIdiomas[#Headers],0),FALSE)</f>
        <v>No</v>
      </c>
      <c r="S4" t="s">
        <v>12</v>
      </c>
      <c r="T4" t="str">
        <f>VLOOKUP(tabRespPreg15101314[[#This Row],[Respuestas Pregunta]],tabIdiomas[],MATCH('General Hipotheses (INTRO)'!$D$2,tabIdiomas[#Headers],0),FALSE)</f>
        <v>No</v>
      </c>
      <c r="U4" t="s">
        <v>306</v>
      </c>
      <c r="V4" t="str">
        <f>VLOOKUP(tabRespPreg1510131415[[#This Row],[Respuestas Pregunta]],tabIdiomas[],MATCH('General Hipotheses (INTRO)'!$D$2,tabIdiomas[#Headers],0),FALSE)</f>
        <v>Sale</v>
      </c>
      <c r="W4" t="s">
        <v>12</v>
      </c>
      <c r="X4" t="str">
        <f>VLOOKUP(tabRespPreg1510131416[[#This Row],[Respuestas Pregunta]],tabIdiomas[],MATCH('General Hipotheses (INTRO)'!$D$2,tabIdiomas[#Headers],0),FALSE)</f>
        <v>No</v>
      </c>
      <c r="Y4" t="s">
        <v>12</v>
      </c>
      <c r="Z4" t="str">
        <f>VLOOKUP(tabRespPreg15101314169[[#This Row],[Respuestas Pregunta]],tabIdiomas[],MATCH('General Hipotheses (INTRO)'!$D$2,tabIdiomas[#Headers],0),FALSE)</f>
        <v>No</v>
      </c>
      <c r="AA4" t="s">
        <v>12</v>
      </c>
      <c r="AB4" t="str">
        <f>VLOOKUP(tabRespPreg151013141611[[#This Row],[Respuestas Pregunta]],tabIdiomas[],MATCH('General Hipotheses (INTRO)'!$D$2,tabIdiomas[#Headers],0),FALSE)</f>
        <v>No</v>
      </c>
      <c r="AC4" t="s">
        <v>12</v>
      </c>
      <c r="AD4" t="str">
        <f>VLOOKUP(tabRespPreg15101314161117[[#This Row],[Respuestas Pregunta]],tabIdiomas[],MATCH('General Hipotheses (INTRO)'!$D$2,tabIdiomas[#Headers],0),FALSE)</f>
        <v>No</v>
      </c>
      <c r="AE4" t="s">
        <v>12</v>
      </c>
      <c r="AF4" t="str">
        <f>VLOOKUP(tabRespPreg1510131416111718[[#This Row],[Respuestas Pregunta]],tabIdiomas[],MATCH('General Hipotheses (INTRO)'!$D$2,tabIdiomas[#Headers],0),FALSE)</f>
        <v>No</v>
      </c>
      <c r="AG4" t="s">
        <v>9</v>
      </c>
      <c r="AH4" t="str">
        <f>VLOOKUP(tabRespPreg151013141620[[#This Row],[Respuestas Pregunta]],tabIdiomas[],MATCH('General Hipotheses (INTRO)'!$D$2,tabIdiomas[#Headers],0),FALSE)</f>
        <v>Manual</v>
      </c>
      <c r="AI4" t="s">
        <v>12</v>
      </c>
      <c r="AJ4" t="str">
        <f>VLOOKUP(tabRespPreg151013141611171819[[#This Row],[Respuestas Pregunta]],tabIdiomas[],MATCH('General Hipotheses (INTRO)'!$D$2,tabIdiomas[#Headers],0),FALSE)</f>
        <v>No</v>
      </c>
      <c r="AK4" t="s">
        <v>12</v>
      </c>
      <c r="AL4" t="str">
        <f>VLOOKUP(tabRespPreg15101314161117181921[[#This Row],[Respuestas Pregunta]],tabIdiomas[],MATCH('General Hipotheses (INTRO)'!$D$2,tabIdiomas[#Headers],0),FALSE)</f>
        <v>No</v>
      </c>
      <c r="AM4" t="s">
        <v>12</v>
      </c>
      <c r="AN4" t="str">
        <f>VLOOKUP(tabRespPreg1510131416111718192122[[#This Row],[Respuestas Pregunta]],tabIdiomas[],MATCH('General Hipotheses (INTRO)'!$D$2,tabIdiomas[#Headers],0),FALSE)</f>
        <v>No</v>
      </c>
      <c r="AO4" t="s">
        <v>12</v>
      </c>
      <c r="AP4" t="str">
        <f>VLOOKUP(tabRespPreg151013141611171819212223[[#This Row],[Respuestas Pregunta]],tabIdiomas[],MATCH('General Hipotheses (INTRO)'!$D$2,tabIdiomas[#Headers],0),FALSE)</f>
        <v>No</v>
      </c>
      <c r="AQ4" t="s">
        <v>12</v>
      </c>
      <c r="AR4" t="str">
        <f>VLOOKUP(tabRespPreg15101314161117181921222324[[#This Row],[Respuestas Pregunta]],tabIdiomas[],MATCH('General Hipotheses (INTRO)'!$D$2,tabIdiomas[#Headers],0),FALSE)</f>
        <v>No</v>
      </c>
      <c r="AS4" t="s">
        <v>12</v>
      </c>
      <c r="AT4" t="str">
        <f>VLOOKUP(tabRespPreg1510131416111718192122232425[[#This Row],[Respuestas Pregunta]],tabIdiomas[],MATCH('General Hipotheses (INTRO)'!$D$2,tabIdiomas[#Headers],0),FALSE)</f>
        <v>No</v>
      </c>
      <c r="AU4" t="s">
        <v>541</v>
      </c>
      <c r="AV4" t="str">
        <f>VLOOKUP(tabRespPreg11227[[#This Row],[Respuestas Pregunta]],tabIdiomas[],MATCH('General Hipotheses (INTRO)'!$D$2,tabIdiomas[#Headers],0),FALSE)</f>
        <v>Not Applicable Check</v>
      </c>
      <c r="AW4" t="s">
        <v>12</v>
      </c>
      <c r="AX4" t="str">
        <f>VLOOKUP(tabRespPreg151013141611171819212223242528[[#This Row],[Respuestas Pregunta]],tabIdiomas[],MATCH('General Hipotheses (INTRO)'!$D$2,tabIdiomas[#Headers],0),FALSE)</f>
        <v>No</v>
      </c>
      <c r="AY4" t="s">
        <v>19</v>
      </c>
      <c r="AZ4" t="str">
        <f>VLOOKUP(tabRespPreg1122729[[#This Row],[Respuestas Pregunta]],tabIdiomas[],MATCH('General Hipotheses (INTRO)'!$D$2,tabIdiomas[#Headers],0),FALSE)</f>
        <v>VAT (Reduced Electricity Tax Rate)</v>
      </c>
    </row>
    <row r="5" spans="1:52" x14ac:dyDescent="0.35">
      <c r="A5" t="s">
        <v>42</v>
      </c>
      <c r="B5" t="str">
        <f>VLOOKUP(tabRespPreg1[[#This Row],[Respuestas Pregunta]],tabIdiomas[],MATCH('General Hipotheses (INTRO)'!$D$2,tabIdiomas[#Headers],0),FALSE)</f>
        <v>Other Countries</v>
      </c>
      <c r="E5" t="s">
        <v>71</v>
      </c>
      <c r="F5" t="str">
        <f>VLOOKUP(tabRespPreg24_1[[#This Row],[Respuestas Pregunta]],tabIdiomas[],MATCH('General Hipotheses (INTRO)'!$D$2,tabIdiomas[#Headers],0),FALSE)</f>
        <v>Ourense</v>
      </c>
      <c r="O5" t="s">
        <v>182</v>
      </c>
      <c r="P5" t="str">
        <f>VLOOKUP(tabRespPreg112[[#This Row],[Respuestas Pregunta]],tabIdiomas[],MATCH('General Hipotheses (INTRO)'!$D$2,tabIdiomas[#Headers],0),FALSE)</f>
        <v>Self-Management</v>
      </c>
      <c r="AU5" t="s">
        <v>545</v>
      </c>
      <c r="AV5" t="str">
        <f>VLOOKUP(tabRespPreg11227[[#This Row],[Respuestas Pregunta]],tabIdiomas[],MATCH('General Hipotheses (INTRO)'!$D$2,tabIdiomas[#Headers],0),FALSE)</f>
        <v>Wrong Check</v>
      </c>
      <c r="AY5" t="s">
        <v>20</v>
      </c>
      <c r="AZ5" t="str">
        <f>VLOOKUP(tabRespPreg1122729[[#This Row],[Respuestas Pregunta]],tabIdiomas[],MATCH('General Hipotheses (INTRO)'!$D$2,tabIdiomas[#Headers],0),FALSE)</f>
        <v>VAT (Extra-Reduced Electricity Tax Rate)</v>
      </c>
    </row>
    <row r="6" spans="1:52" x14ac:dyDescent="0.35">
      <c r="E6" t="s">
        <v>3</v>
      </c>
      <c r="F6" t="str">
        <f>VLOOKUP(tabRespPreg24_1[[#This Row],[Respuestas Pregunta]],tabIdiomas[],MATCH('General Hipotheses (INTRO)'!$D$2,tabIdiomas[#Headers],0),FALSE)</f>
        <v>Pontevedra</v>
      </c>
    </row>
  </sheetData>
  <mergeCells count="9">
    <mergeCell ref="AM1:AN1"/>
    <mergeCell ref="AO1:AP1"/>
    <mergeCell ref="AQ1:AR1"/>
    <mergeCell ref="AS1:AT1"/>
    <mergeCell ref="Y1:Z1"/>
    <mergeCell ref="AC1:AD1"/>
    <mergeCell ref="AE1:AF1"/>
    <mergeCell ref="AI1:AJ1"/>
    <mergeCell ref="AK1:AL1"/>
  </mergeCells>
  <pageMargins left="0.7" right="0.7" top="0.75" bottom="0.75" header="0.3" footer="0.3"/>
  <tableParts count="26">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367C9-BACE-4120-8187-7AE6C5BDD8C6}">
  <sheetPr>
    <tabColor rgb="FFFFFF00"/>
  </sheetPr>
  <dimension ref="A1:A5"/>
  <sheetViews>
    <sheetView workbookViewId="0">
      <selection activeCell="F2" sqref="F2"/>
    </sheetView>
  </sheetViews>
  <sheetFormatPr baseColWidth="10" defaultColWidth="11.453125" defaultRowHeight="14.5" x14ac:dyDescent="0.35"/>
  <sheetData>
    <row r="1" spans="1:1" x14ac:dyDescent="0.35">
      <c r="A1" s="231" t="s">
        <v>650</v>
      </c>
    </row>
    <row r="2" spans="1:1" x14ac:dyDescent="0.35">
      <c r="A2" t="str" cm="1">
        <f t="array" ref="A2:A5">_xlfn._xlws.FILTER(TRANSPOSE(_xlfn.UNIQUE(Idiomas!1:1)),(TRANSPOSE(_xlfn.UNIQUE(Idiomas!1:1))&lt;&gt;"")*(TRANSPOSE(_xlfn.UNIQUE(Idiomas!1:1))&lt;&gt;"Cadena"))</f>
        <v>Eestlane</v>
      </c>
    </row>
    <row r="3" spans="1:1" x14ac:dyDescent="0.35">
      <c r="A3" t="str">
        <v>English</v>
      </c>
    </row>
    <row r="4" spans="1:1" x14ac:dyDescent="0.35">
      <c r="A4" t="str">
        <v>Español</v>
      </c>
    </row>
    <row r="5" spans="1:1" x14ac:dyDescent="0.35">
      <c r="A5" t="str">
        <v>Galego</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CE5D5-A5BE-4E10-A972-70C699470FA3}">
  <dimension ref="B2:J20"/>
  <sheetViews>
    <sheetView workbookViewId="0">
      <selection activeCell="F2" sqref="F2"/>
    </sheetView>
  </sheetViews>
  <sheetFormatPr baseColWidth="10" defaultColWidth="10.54296875" defaultRowHeight="14.5" x14ac:dyDescent="0.35"/>
  <cols>
    <col min="2" max="2" width="2.54296875" customWidth="1"/>
    <col min="8" max="8" width="7.54296875" customWidth="1"/>
    <col min="9" max="9" width="7.453125" customWidth="1"/>
    <col min="10" max="10" width="6.54296875" customWidth="1"/>
  </cols>
  <sheetData>
    <row r="2" spans="2:10" x14ac:dyDescent="0.35">
      <c r="B2" s="374"/>
      <c r="C2" s="374"/>
      <c r="D2" s="374"/>
      <c r="E2" s="374"/>
      <c r="F2" s="374"/>
      <c r="G2" s="374"/>
      <c r="H2" s="374"/>
    </row>
    <row r="3" spans="2:10" x14ac:dyDescent="0.35">
      <c r="B3" s="374"/>
      <c r="C3" s="374"/>
      <c r="D3" s="374"/>
      <c r="E3" s="374"/>
      <c r="F3" s="374"/>
      <c r="G3" s="374"/>
      <c r="H3" s="374"/>
    </row>
    <row r="4" spans="2:10" x14ac:dyDescent="0.35">
      <c r="B4" s="374"/>
      <c r="C4" s="374"/>
      <c r="D4" s="374"/>
      <c r="E4" s="374"/>
      <c r="F4" s="374"/>
      <c r="G4" s="374"/>
      <c r="H4" s="374"/>
    </row>
    <row r="5" spans="2:10" x14ac:dyDescent="0.35">
      <c r="B5" s="374"/>
      <c r="C5" s="374"/>
      <c r="D5" s="374"/>
      <c r="E5" s="374"/>
      <c r="F5" s="374"/>
      <c r="G5" s="374"/>
      <c r="H5" s="374"/>
    </row>
    <row r="6" spans="2:10" x14ac:dyDescent="0.35">
      <c r="B6" s="374"/>
      <c r="C6" s="374"/>
      <c r="D6" s="374"/>
      <c r="E6" s="374"/>
      <c r="F6" s="374"/>
      <c r="G6" s="374"/>
      <c r="H6" s="374"/>
    </row>
    <row r="7" spans="2:10" x14ac:dyDescent="0.35">
      <c r="B7" s="374"/>
      <c r="C7" s="374"/>
      <c r="D7" s="374"/>
      <c r="E7" s="374"/>
      <c r="F7" s="374"/>
      <c r="G7" s="374"/>
      <c r="H7" s="374"/>
    </row>
    <row r="8" spans="2:10" x14ac:dyDescent="0.35">
      <c r="B8" s="374"/>
      <c r="C8" s="374"/>
      <c r="D8" s="374"/>
      <c r="E8" s="374"/>
      <c r="F8" s="374"/>
      <c r="G8" s="374"/>
      <c r="H8" s="374"/>
    </row>
    <row r="9" spans="2:10" x14ac:dyDescent="0.35">
      <c r="B9" s="374"/>
      <c r="C9" s="374"/>
      <c r="D9" s="374"/>
      <c r="E9" s="374"/>
      <c r="F9" s="374"/>
      <c r="G9" s="374"/>
      <c r="H9" s="374"/>
    </row>
    <row r="10" spans="2:10" x14ac:dyDescent="0.35">
      <c r="B10" s="374"/>
      <c r="C10" s="374"/>
      <c r="D10" s="374"/>
      <c r="E10" s="374"/>
      <c r="F10" s="374"/>
      <c r="G10" s="374"/>
      <c r="H10" s="374"/>
    </row>
    <row r="11" spans="2:10" ht="143.15" customHeight="1" x14ac:dyDescent="0.35">
      <c r="B11" s="374"/>
      <c r="C11" s="1835" t="s">
        <v>726</v>
      </c>
      <c r="D11" s="1836"/>
      <c r="E11" s="1836"/>
      <c r="F11" s="1836"/>
      <c r="G11" s="1836"/>
      <c r="H11" s="1836"/>
      <c r="I11" s="1836"/>
      <c r="J11" s="1837"/>
    </row>
    <row r="12" spans="2:10" ht="16.5" customHeight="1" x14ac:dyDescent="0.35">
      <c r="B12" s="374"/>
      <c r="C12" s="374"/>
      <c r="D12" s="374"/>
      <c r="E12" s="374"/>
      <c r="F12" s="374"/>
      <c r="G12" s="374"/>
      <c r="H12" s="374"/>
    </row>
    <row r="13" spans="2:10" ht="18.5" x14ac:dyDescent="0.35">
      <c r="B13" s="374"/>
      <c r="C13" s="376"/>
      <c r="D13" s="374"/>
      <c r="E13" s="374"/>
      <c r="F13" s="374"/>
      <c r="G13" s="374"/>
      <c r="H13" s="374"/>
    </row>
    <row r="14" spans="2:10" x14ac:dyDescent="0.35">
      <c r="B14" s="374"/>
      <c r="C14" s="374"/>
      <c r="D14" s="374"/>
      <c r="E14" s="374"/>
      <c r="F14" s="374"/>
      <c r="G14" s="374"/>
      <c r="H14" s="374"/>
    </row>
    <row r="15" spans="2:10" x14ac:dyDescent="0.35">
      <c r="B15" s="374"/>
      <c r="C15" s="374"/>
      <c r="D15" s="374"/>
      <c r="E15" s="374"/>
      <c r="F15" s="374"/>
      <c r="G15" s="374"/>
      <c r="H15" s="374"/>
    </row>
    <row r="16" spans="2:10" ht="21" x14ac:dyDescent="0.35">
      <c r="B16" s="374"/>
      <c r="C16" s="375" t="s">
        <v>725</v>
      </c>
      <c r="D16" s="374"/>
      <c r="E16" s="374"/>
      <c r="F16" s="374"/>
      <c r="G16" s="374"/>
      <c r="H16" s="374"/>
    </row>
    <row r="17" spans="2:8" x14ac:dyDescent="0.35">
      <c r="B17" s="374"/>
      <c r="C17" s="374"/>
      <c r="D17" s="374"/>
      <c r="E17" s="374"/>
      <c r="F17" s="374"/>
      <c r="G17" s="374"/>
      <c r="H17" s="374"/>
    </row>
    <row r="18" spans="2:8" x14ac:dyDescent="0.35">
      <c r="B18" s="374"/>
      <c r="C18" s="374"/>
      <c r="D18" s="374"/>
      <c r="E18" s="374"/>
      <c r="F18" s="374"/>
      <c r="G18" s="374"/>
      <c r="H18" s="374"/>
    </row>
    <row r="19" spans="2:8" x14ac:dyDescent="0.35">
      <c r="B19" s="374"/>
      <c r="C19" s="374"/>
      <c r="D19" s="374"/>
      <c r="E19" s="374"/>
      <c r="F19" s="374"/>
      <c r="G19" s="374"/>
      <c r="H19" s="374"/>
    </row>
    <row r="20" spans="2:8" x14ac:dyDescent="0.35">
      <c r="B20" s="374"/>
      <c r="C20" s="374"/>
      <c r="D20" s="374"/>
      <c r="E20" s="374"/>
      <c r="F20" s="374"/>
      <c r="G20" s="374"/>
      <c r="H20" s="374"/>
    </row>
  </sheetData>
  <mergeCells count="1">
    <mergeCell ref="C11:J11"/>
  </mergeCells>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5CBD2-B04F-491F-B5E8-6EB2F4702DA7}">
  <sheetPr>
    <pageSetUpPr fitToPage="1"/>
  </sheetPr>
  <dimension ref="A1:J96"/>
  <sheetViews>
    <sheetView topLeftCell="B6" zoomScaleNormal="100" workbookViewId="0">
      <selection activeCell="F2" sqref="F2"/>
    </sheetView>
  </sheetViews>
  <sheetFormatPr baseColWidth="10" defaultColWidth="11.453125" defaultRowHeight="14.5" x14ac:dyDescent="0.35"/>
  <cols>
    <col min="2" max="2" width="48.453125" customWidth="1"/>
    <col min="3" max="3" width="12.54296875" bestFit="1" customWidth="1"/>
    <col min="4" max="4" width="8.54296875" customWidth="1"/>
    <col min="5" max="5" width="33.1796875" customWidth="1"/>
    <col min="6" max="6" width="15.54296875" customWidth="1"/>
    <col min="7" max="7" width="33.81640625" customWidth="1"/>
    <col min="8" max="8" width="36.6328125" customWidth="1"/>
    <col min="9" max="9" width="18.36328125" customWidth="1"/>
    <col min="10" max="10" width="36.453125" customWidth="1"/>
  </cols>
  <sheetData>
    <row r="1" spans="2:7" x14ac:dyDescent="0.35">
      <c r="B1" s="1"/>
      <c r="C1" s="1"/>
      <c r="D1" s="1"/>
      <c r="E1" s="1"/>
      <c r="F1" s="1"/>
    </row>
    <row r="2" spans="2:7" x14ac:dyDescent="0.35">
      <c r="B2" s="1"/>
      <c r="C2" s="1"/>
      <c r="D2" s="1"/>
      <c r="E2" s="1"/>
      <c r="F2" s="1"/>
    </row>
    <row r="3" spans="2:7" x14ac:dyDescent="0.35">
      <c r="B3" s="1"/>
      <c r="C3" s="1"/>
      <c r="D3" s="1"/>
      <c r="E3" s="1"/>
      <c r="F3" s="1"/>
    </row>
    <row r="4" spans="2:7" ht="21" x14ac:dyDescent="0.35">
      <c r="B4" s="2" t="s">
        <v>828</v>
      </c>
      <c r="C4" s="2"/>
      <c r="D4" s="2"/>
      <c r="E4" s="2"/>
    </row>
    <row r="5" spans="2:7" x14ac:dyDescent="0.35">
      <c r="B5" s="1"/>
      <c r="C5" s="1"/>
      <c r="D5" s="1"/>
      <c r="E5" s="1"/>
      <c r="F5" s="1"/>
    </row>
    <row r="6" spans="2:7" x14ac:dyDescent="0.35">
      <c r="B6" s="532" t="s">
        <v>827</v>
      </c>
      <c r="C6" s="1"/>
      <c r="D6" s="1"/>
      <c r="E6" s="1"/>
      <c r="F6" s="1"/>
    </row>
    <row r="7" spans="2:7" x14ac:dyDescent="0.35">
      <c r="B7" s="1"/>
      <c r="C7" s="1"/>
      <c r="D7" s="1"/>
      <c r="E7" s="1"/>
      <c r="F7" s="1"/>
    </row>
    <row r="8" spans="2:7" x14ac:dyDescent="0.35">
      <c r="B8" s="44"/>
      <c r="C8" s="45"/>
      <c r="D8" s="1"/>
      <c r="E8" s="1"/>
      <c r="F8" s="1"/>
    </row>
    <row r="9" spans="2:7" x14ac:dyDescent="0.35">
      <c r="B9" s="44" t="s">
        <v>826</v>
      </c>
      <c r="C9" s="45">
        <v>1</v>
      </c>
      <c r="D9" s="1"/>
      <c r="E9" s="1"/>
      <c r="F9" s="1"/>
    </row>
    <row r="10" spans="2:7" x14ac:dyDescent="0.35">
      <c r="B10" s="531" t="s">
        <v>825</v>
      </c>
      <c r="C10" s="530"/>
      <c r="D10" s="1"/>
      <c r="E10" s="420" t="s">
        <v>111</v>
      </c>
      <c r="F10" s="390"/>
    </row>
    <row r="11" spans="2:7" x14ac:dyDescent="0.35">
      <c r="B11" s="435" t="s">
        <v>824</v>
      </c>
      <c r="C11" s="528">
        <f>'Hipóteses Xerais'!$C$11</f>
        <v>25</v>
      </c>
      <c r="D11" s="1"/>
      <c r="E11" s="435" t="s">
        <v>823</v>
      </c>
      <c r="F11" s="491">
        <f>'Hipóteses Xerais'!$F$11</f>
        <v>0</v>
      </c>
      <c r="G11" t="s">
        <v>822</v>
      </c>
    </row>
    <row r="12" spans="2:7" x14ac:dyDescent="0.35">
      <c r="B12" s="440" t="s">
        <v>821</v>
      </c>
      <c r="C12" s="441">
        <f>'Hipóteses Xerais'!$C$12</f>
        <v>0.21</v>
      </c>
      <c r="D12" s="1"/>
      <c r="E12" s="440" t="s">
        <v>820</v>
      </c>
      <c r="F12" s="439">
        <f>$F$11*C21</f>
        <v>0</v>
      </c>
    </row>
    <row r="13" spans="2:7" x14ac:dyDescent="0.35">
      <c r="B13" s="440" t="s">
        <v>819</v>
      </c>
      <c r="C13" s="529">
        <f>'Hipóteses Xerais'!$C$13</f>
        <v>3</v>
      </c>
      <c r="D13" s="1"/>
      <c r="E13" s="435" t="s">
        <v>818</v>
      </c>
      <c r="F13" s="528">
        <f>'Hipóteses Xerais'!$F$13</f>
        <v>15</v>
      </c>
    </row>
    <row r="14" spans="2:7" x14ac:dyDescent="0.35">
      <c r="B14" s="435" t="s">
        <v>817</v>
      </c>
      <c r="C14" s="490">
        <f>'Hipóteses Xerais'!$I$16</f>
        <v>150</v>
      </c>
      <c r="D14" s="1"/>
      <c r="E14" s="435" t="s">
        <v>816</v>
      </c>
      <c r="F14" s="526">
        <f>'Hipóteses Xerais'!$F$14</f>
        <v>0</v>
      </c>
    </row>
    <row r="15" spans="2:7" x14ac:dyDescent="0.35">
      <c r="B15" s="440" t="s">
        <v>815</v>
      </c>
      <c r="C15" s="527">
        <f>'Hipóteses Xerais'!$C$16</f>
        <v>0</v>
      </c>
      <c r="D15" s="1"/>
      <c r="E15" s="435" t="s">
        <v>814</v>
      </c>
      <c r="F15" s="526">
        <f>'Hipóteses Xerais'!$F$15</f>
        <v>0</v>
      </c>
    </row>
    <row r="16" spans="2:7" x14ac:dyDescent="0.35">
      <c r="B16" s="435" t="s">
        <v>813</v>
      </c>
      <c r="C16" s="441">
        <f>'Hipóteses Xerais'!$C$14</f>
        <v>0.25</v>
      </c>
      <c r="D16" s="1"/>
      <c r="E16" s="435" t="s">
        <v>812</v>
      </c>
      <c r="F16" s="525">
        <f>'Hipóteses Xerais'!$F$16</f>
        <v>12</v>
      </c>
    </row>
    <row r="17" spans="1:6" x14ac:dyDescent="0.35">
      <c r="B17" s="435" t="s">
        <v>742</v>
      </c>
      <c r="C17" s="524">
        <f>$F$80</f>
        <v>70</v>
      </c>
      <c r="D17" s="1"/>
      <c r="E17" s="435"/>
      <c r="F17" s="520"/>
    </row>
    <row r="18" spans="1:6" x14ac:dyDescent="0.35">
      <c r="B18" s="435" t="s">
        <v>811</v>
      </c>
      <c r="C18" s="523">
        <f>'Hipóteses Xerais'!$I$11</f>
        <v>1000</v>
      </c>
      <c r="D18" s="1"/>
      <c r="E18" s="435"/>
      <c r="F18" s="520"/>
    </row>
    <row r="19" spans="1:6" x14ac:dyDescent="0.35">
      <c r="B19" s="435" t="s">
        <v>810</v>
      </c>
      <c r="C19" s="522">
        <f>$C$76+$C$79+$C$89</f>
        <v>84000</v>
      </c>
      <c r="D19" s="1"/>
      <c r="E19" s="435"/>
      <c r="F19" s="520"/>
    </row>
    <row r="20" spans="1:6" ht="26" x14ac:dyDescent="0.35">
      <c r="A20" s="3">
        <f>150/30000</f>
        <v>5.0000000000000001E-3</v>
      </c>
      <c r="B20" s="521" t="s">
        <v>171</v>
      </c>
      <c r="C20" s="441">
        <f>'Hipóteses Xerais'!$I$15</f>
        <v>0.01</v>
      </c>
      <c r="E20" s="435"/>
      <c r="F20" s="520"/>
    </row>
    <row r="21" spans="1:6" x14ac:dyDescent="0.35">
      <c r="B21" s="507" t="s">
        <v>809</v>
      </c>
      <c r="C21" s="519">
        <f>$C$19+$C$74-$C$89</f>
        <v>70150</v>
      </c>
      <c r="D21" s="1"/>
      <c r="E21" s="440" t="s">
        <v>808</v>
      </c>
      <c r="F21" s="491">
        <f>'Hipóteses Xerais'!$F$18</f>
        <v>3.6859999999999997E-2</v>
      </c>
    </row>
    <row r="22" spans="1:6" x14ac:dyDescent="0.35">
      <c r="B22" s="518" t="s">
        <v>273</v>
      </c>
      <c r="C22" s="517">
        <f>'Hipóteses Xerais'!$C$20</f>
        <v>100</v>
      </c>
      <c r="D22" s="1"/>
      <c r="E22" s="440"/>
      <c r="F22" s="511"/>
    </row>
    <row r="23" spans="1:6" x14ac:dyDescent="0.35">
      <c r="B23" s="500" t="s">
        <v>289</v>
      </c>
      <c r="C23" s="481">
        <f>'Hipóteses Xerais'!$C$21</f>
        <v>1</v>
      </c>
      <c r="D23" s="1"/>
      <c r="E23" s="440"/>
      <c r="F23" s="511"/>
    </row>
    <row r="24" spans="1:6" x14ac:dyDescent="0.35">
      <c r="B24" s="500" t="s">
        <v>293</v>
      </c>
      <c r="C24" s="481">
        <f>'Hipóteses Xerais'!$C$22</f>
        <v>0.5</v>
      </c>
      <c r="D24" s="1"/>
      <c r="E24" s="440"/>
      <c r="F24" s="511"/>
    </row>
    <row r="25" spans="1:6" x14ac:dyDescent="0.35">
      <c r="B25" s="500" t="s">
        <v>297</v>
      </c>
      <c r="C25" s="481">
        <f>'Hipóteses Xerais'!$C$23</f>
        <v>0.75</v>
      </c>
      <c r="D25" s="1"/>
      <c r="E25" s="440"/>
      <c r="F25" s="511"/>
    </row>
    <row r="26" spans="1:6" x14ac:dyDescent="0.35">
      <c r="B26" s="500" t="s">
        <v>807</v>
      </c>
      <c r="C26" s="516">
        <f>$I$47</f>
        <v>0.5</v>
      </c>
      <c r="D26" s="1"/>
      <c r="E26" s="440"/>
      <c r="F26" s="511"/>
    </row>
    <row r="27" spans="1:6" x14ac:dyDescent="0.35">
      <c r="B27" s="500" t="s">
        <v>806</v>
      </c>
      <c r="C27" s="516">
        <f>IF($E$74="Compensación",(1-C26),0%)</f>
        <v>0.5</v>
      </c>
      <c r="D27" s="1"/>
      <c r="E27" s="440"/>
      <c r="F27" s="511"/>
    </row>
    <row r="28" spans="1:6" x14ac:dyDescent="0.35">
      <c r="B28" s="515" t="s">
        <v>805</v>
      </c>
      <c r="C28" s="514">
        <f>IF(E74="Venda",(1-C26),0%)</f>
        <v>0</v>
      </c>
      <c r="D28" s="1"/>
      <c r="E28" s="440"/>
      <c r="F28" s="511"/>
    </row>
    <row r="29" spans="1:6" ht="26" x14ac:dyDescent="0.35">
      <c r="B29" s="513" t="s">
        <v>804</v>
      </c>
      <c r="C29" s="512">
        <f>IF($E$70="Si",100%,(IF(E70="Non",$C$71,"ERRO na introdución de datos")))</f>
        <v>1</v>
      </c>
      <c r="D29" s="1"/>
      <c r="E29" s="440"/>
      <c r="F29" s="511"/>
    </row>
    <row r="30" spans="1:6" x14ac:dyDescent="0.35">
      <c r="B30" s="510" t="s">
        <v>803</v>
      </c>
      <c r="C30" s="509">
        <f>'Hipóteses Xerais'!$I$26</f>
        <v>3.2000000000000001E-2</v>
      </c>
      <c r="D30" s="1"/>
      <c r="E30" s="440" t="s">
        <v>802</v>
      </c>
      <c r="F30" s="491">
        <f>'Hipóteses Xerais'!$F$19</f>
        <v>0.03</v>
      </c>
    </row>
    <row r="31" spans="1:6" x14ac:dyDescent="0.35">
      <c r="B31" s="440" t="s">
        <v>801</v>
      </c>
      <c r="C31" s="478">
        <f>'Hipóteses Xerais'!$I$28</f>
        <v>3.1E-2</v>
      </c>
      <c r="D31" s="1"/>
      <c r="E31" s="440" t="s">
        <v>800</v>
      </c>
      <c r="F31" s="501">
        <f>F21+F30</f>
        <v>6.6860000000000003E-2</v>
      </c>
    </row>
    <row r="32" spans="1:6" x14ac:dyDescent="0.35">
      <c r="B32" s="440" t="s">
        <v>773</v>
      </c>
      <c r="C32" s="472">
        <f>(2.06+1.8+1.41+1.24+0.66+0.36)/600</f>
        <v>1.2550000000000002E-2</v>
      </c>
      <c r="D32" s="1"/>
      <c r="E32" s="440" t="s">
        <v>799</v>
      </c>
      <c r="F32" s="508">
        <f>'Hipóteses Xerais'!$F$20</f>
        <v>3.0000000000000001E-3</v>
      </c>
    </row>
    <row r="33" spans="1:10" x14ac:dyDescent="0.35">
      <c r="B33" s="507" t="s">
        <v>771</v>
      </c>
      <c r="C33" s="506">
        <f>C32+2%</f>
        <v>3.2550000000000003E-2</v>
      </c>
      <c r="D33" s="1"/>
      <c r="E33" s="440"/>
      <c r="F33" s="505"/>
    </row>
    <row r="34" spans="1:10" x14ac:dyDescent="0.35">
      <c r="A34" s="504">
        <f>(4853/2.35)</f>
        <v>2065.1063829787231</v>
      </c>
      <c r="B34" s="503" t="s">
        <v>798</v>
      </c>
      <c r="C34" s="502">
        <v>1700</v>
      </c>
      <c r="D34" s="1">
        <f>365*24</f>
        <v>8760</v>
      </c>
      <c r="E34" s="435" t="s">
        <v>797</v>
      </c>
      <c r="F34" s="501">
        <f>1-F11</f>
        <v>1</v>
      </c>
    </row>
    <row r="35" spans="1:10" x14ac:dyDescent="0.35">
      <c r="B35" s="500" t="s">
        <v>796</v>
      </c>
      <c r="C35" s="499" cm="1">
        <f t="array" ref="C35">IF($F$91="Galicia",IF($H$83="Automática (Só Galicia)",(_xlfn.IFS($F$48=$E$86,($C$17*$F$86/1000),$F$48=$E$85,($C$17*$F$85/1000),$F$48=$E$84,($C$17*$F$84/1000),$F$48=$E$83,($C$17*$F$83/1000))),($C$17*$H$86/1000)),($C$17*$H$86/1000))</f>
        <v>89.32</v>
      </c>
      <c r="D35" s="498">
        <f>C34/D34*100</f>
        <v>19.406392694063925</v>
      </c>
      <c r="E35" s="435" t="s">
        <v>795</v>
      </c>
      <c r="F35" s="497">
        <f>F34*C21</f>
        <v>70150</v>
      </c>
    </row>
    <row r="36" spans="1:10" ht="26" x14ac:dyDescent="0.35">
      <c r="B36" s="496" t="s">
        <v>99</v>
      </c>
      <c r="C36" s="495" t="str">
        <f>'Hipóteses Xerais'!$C$15</f>
        <v>Non</v>
      </c>
      <c r="D36" s="1"/>
      <c r="E36" s="485"/>
      <c r="F36" s="494"/>
    </row>
    <row r="37" spans="1:10" x14ac:dyDescent="0.35">
      <c r="B37" s="1"/>
      <c r="C37" s="1"/>
      <c r="D37" s="1"/>
      <c r="E37" s="1"/>
      <c r="F37" s="493"/>
    </row>
    <row r="38" spans="1:10" x14ac:dyDescent="0.35">
      <c r="B38" s="420" t="s">
        <v>366</v>
      </c>
      <c r="C38" s="420"/>
      <c r="D38" s="1"/>
      <c r="E38" s="420" t="s">
        <v>794</v>
      </c>
      <c r="F38" s="420"/>
      <c r="H38" s="420" t="s">
        <v>229</v>
      </c>
      <c r="I38" s="420"/>
      <c r="J38" s="420" t="s">
        <v>233</v>
      </c>
    </row>
    <row r="39" spans="1:10" s="4" customFormat="1" x14ac:dyDescent="0.35">
      <c r="B39" s="440" t="s">
        <v>793</v>
      </c>
      <c r="C39" s="472">
        <v>0.02</v>
      </c>
      <c r="D39" s="5"/>
      <c r="E39" s="435" t="s">
        <v>792</v>
      </c>
      <c r="F39" s="492">
        <f>$I$41</f>
        <v>25</v>
      </c>
      <c r="H39" s="435" t="s">
        <v>791</v>
      </c>
      <c r="I39" s="489">
        <f>ROUNDUP((J39*$I$53),0)</f>
        <v>15</v>
      </c>
      <c r="J39" s="491">
        <f>'Hipóteses Xerais'!$F$27</f>
        <v>0.6</v>
      </c>
    </row>
    <row r="40" spans="1:10" s="4" customFormat="1" x14ac:dyDescent="0.35">
      <c r="B40" s="440" t="s">
        <v>790</v>
      </c>
      <c r="C40" s="478">
        <f>'Hipóteses Xerais'!$I$24</f>
        <v>3.1E-2</v>
      </c>
      <c r="D40" s="5"/>
      <c r="E40" s="435" t="s">
        <v>243</v>
      </c>
      <c r="F40" s="490">
        <f>'Hipóteses Xerais'!$F$30</f>
        <v>0</v>
      </c>
      <c r="H40" s="435" t="s">
        <v>789</v>
      </c>
      <c r="I40" s="489">
        <f>ROUNDDOWN((J40*$I$53),0)</f>
        <v>10</v>
      </c>
      <c r="J40" s="488">
        <f>100%-J39</f>
        <v>0.4</v>
      </c>
    </row>
    <row r="41" spans="1:10" x14ac:dyDescent="0.35">
      <c r="B41" s="440" t="s">
        <v>788</v>
      </c>
      <c r="C41" s="478">
        <f>'Hipóteses Xerais'!$I$25</f>
        <v>1.6E-2</v>
      </c>
      <c r="D41" s="1"/>
      <c r="E41" s="435" t="s">
        <v>787</v>
      </c>
      <c r="F41" s="439">
        <f>IF($C$96="Si",'Conta explotación'!$D$97,'Conta explotación'!$D$83)</f>
        <v>8.2348999999999997</v>
      </c>
      <c r="H41" s="435" t="s">
        <v>786</v>
      </c>
      <c r="I41" s="36">
        <f>SUM(I39:I40)</f>
        <v>25</v>
      </c>
    </row>
    <row r="42" spans="1:10" x14ac:dyDescent="0.35">
      <c r="B42" s="440" t="s">
        <v>785</v>
      </c>
      <c r="C42" s="478">
        <f>'Hipóteses Xerais'!$I$27</f>
        <v>3.2000000000000001E-2</v>
      </c>
      <c r="D42" s="1"/>
      <c r="E42" s="435" t="s">
        <v>247</v>
      </c>
      <c r="F42" s="487">
        <f>'Hipóteses Xerais'!$F$31</f>
        <v>0</v>
      </c>
      <c r="H42" s="485" t="s">
        <v>784</v>
      </c>
      <c r="I42" s="486">
        <f>I39/I41</f>
        <v>0.6</v>
      </c>
      <c r="J42" s="38"/>
    </row>
    <row r="43" spans="1:10" s="4" customFormat="1" x14ac:dyDescent="0.35">
      <c r="B43" s="440" t="s">
        <v>783</v>
      </c>
      <c r="C43" s="472">
        <f>'Conta explotación'!F20/'Conta explotación'!F40</f>
        <v>0</v>
      </c>
      <c r="D43" s="5"/>
      <c r="H43" s="485" t="s">
        <v>782</v>
      </c>
      <c r="I43" s="484">
        <f>I40/I41</f>
        <v>0.4</v>
      </c>
    </row>
    <row r="44" spans="1:10" s="4" customFormat="1" ht="26" x14ac:dyDescent="0.35">
      <c r="B44" s="440" t="s">
        <v>781</v>
      </c>
      <c r="C44" s="472">
        <f>('Estim. Gastos'!$F$50+'Estim. Gastos'!$F$51)/'Conta explotación'!$F$40</f>
        <v>0</v>
      </c>
      <c r="D44" s="5"/>
      <c r="H44" s="417" t="s">
        <v>321</v>
      </c>
      <c r="I44" s="483">
        <f>'Hipóteses Xerais'!$C$28</f>
        <v>0.5</v>
      </c>
    </row>
    <row r="45" spans="1:10" ht="26" x14ac:dyDescent="0.35">
      <c r="B45" s="440" t="s">
        <v>780</v>
      </c>
      <c r="C45" s="472">
        <f>100%-C43-C44</f>
        <v>1</v>
      </c>
      <c r="D45" s="1"/>
      <c r="G45" s="4"/>
      <c r="H45" s="482" t="s">
        <v>325</v>
      </c>
      <c r="I45" s="481">
        <f>'Hipóteses Xerais'!$C$29</f>
        <v>0.4</v>
      </c>
    </row>
    <row r="46" spans="1:10" ht="26.5" thickBot="1" x14ac:dyDescent="0.4">
      <c r="B46" s="440" t="s">
        <v>779</v>
      </c>
      <c r="C46" s="472">
        <v>0.02</v>
      </c>
      <c r="D46" s="1"/>
      <c r="E46" s="420" t="s">
        <v>778</v>
      </c>
      <c r="F46" s="420"/>
      <c r="G46" s="4"/>
      <c r="H46" s="480" t="s">
        <v>329</v>
      </c>
      <c r="I46" s="479">
        <f>'Hipóteses Xerais'!$C$30</f>
        <v>0.3</v>
      </c>
    </row>
    <row r="47" spans="1:10" ht="15" thickBot="1" x14ac:dyDescent="0.4">
      <c r="A47" t="s">
        <v>777</v>
      </c>
      <c r="B47" s="440" t="s">
        <v>776</v>
      </c>
      <c r="C47" s="478">
        <f>'Hipóteses Xerais'!$I$28</f>
        <v>3.1E-2</v>
      </c>
      <c r="D47" s="1"/>
      <c r="E47" s="440" t="s">
        <v>60</v>
      </c>
      <c r="F47" s="477" t="str">
        <f>'Hipóteses Xerais'!$F$5</f>
        <v>Galicia</v>
      </c>
      <c r="G47" s="4"/>
      <c r="H47" s="476" t="s">
        <v>775</v>
      </c>
      <c r="I47" s="475">
        <f>IF(ABS(I42-I43)&lt;=20%,I44,(IF(ABS(I42-I43)&lt;=40%,I45,I46)))</f>
        <v>0.5</v>
      </c>
    </row>
    <row r="48" spans="1:10" x14ac:dyDescent="0.35">
      <c r="B48" s="440" t="s">
        <v>774</v>
      </c>
      <c r="C48" s="472">
        <v>0.02</v>
      </c>
      <c r="D48" s="1"/>
      <c r="E48" s="440" t="s">
        <v>50</v>
      </c>
      <c r="F48" s="471" t="str">
        <f>'Hipóteses Xerais'!$F$6</f>
        <v>Pontevedra</v>
      </c>
      <c r="H48" s="474"/>
      <c r="I48" s="473"/>
    </row>
    <row r="49" spans="2:10" x14ac:dyDescent="0.35">
      <c r="B49" s="440" t="s">
        <v>773</v>
      </c>
      <c r="C49" s="472">
        <f>C32</f>
        <v>1.2550000000000002E-2</v>
      </c>
      <c r="D49" s="1"/>
      <c r="E49" s="440" t="s">
        <v>63</v>
      </c>
      <c r="F49" s="471" t="str">
        <f>'Hipóteses Xerais'!$F$7</f>
        <v>******</v>
      </c>
      <c r="H49" s="420" t="s">
        <v>772</v>
      </c>
      <c r="I49" s="390"/>
    </row>
    <row r="50" spans="2:10" ht="26" x14ac:dyDescent="0.35">
      <c r="B50" s="440" t="s">
        <v>771</v>
      </c>
      <c r="C50" s="472">
        <f>C49+2%</f>
        <v>3.2550000000000003E-2</v>
      </c>
      <c r="D50" s="1"/>
      <c r="E50" s="440" t="s">
        <v>66</v>
      </c>
      <c r="F50" s="471" t="str">
        <f>'Hipóteses Xerais'!$F$8</f>
        <v>******</v>
      </c>
      <c r="H50" s="401" t="s">
        <v>770</v>
      </c>
      <c r="I50" s="470">
        <f>$C$35*1000</f>
        <v>89320</v>
      </c>
    </row>
    <row r="51" spans="2:10" ht="29" x14ac:dyDescent="0.35">
      <c r="D51" s="1"/>
      <c r="E51" s="1"/>
      <c r="F51" s="1"/>
      <c r="H51" s="469" t="s">
        <v>769</v>
      </c>
      <c r="I51" s="468">
        <f>I50/$C$70</f>
        <v>89320</v>
      </c>
    </row>
    <row r="52" spans="2:10" ht="29.5" thickBot="1" x14ac:dyDescent="0.4">
      <c r="B52" s="467" t="s">
        <v>768</v>
      </c>
      <c r="C52" s="466" t="s">
        <v>767</v>
      </c>
      <c r="D52" s="466" t="s">
        <v>766</v>
      </c>
      <c r="E52" s="466" t="s">
        <v>555</v>
      </c>
      <c r="F52" s="466" t="s">
        <v>558</v>
      </c>
      <c r="G52" s="223" t="s">
        <v>765</v>
      </c>
      <c r="H52" s="465" t="s">
        <v>764</v>
      </c>
      <c r="I52" s="464">
        <f>IF($J$83="Automática (Só Galicia)",'Est. Consumo Electr.'!$C$21,(IF($J$83="Manual",$J$86*12,"ERRO")))</f>
        <v>3532.92</v>
      </c>
    </row>
    <row r="53" spans="2:10" ht="15" thickBot="1" x14ac:dyDescent="0.4">
      <c r="B53" s="463" t="s">
        <v>510</v>
      </c>
      <c r="C53" s="461">
        <f>'Hipóteses Gastos'!C65</f>
        <v>0</v>
      </c>
      <c r="D53" s="462">
        <f>'Hipóteses Gastos'!D65</f>
        <v>0</v>
      </c>
      <c r="E53" s="461">
        <f>IF('Hipóteses Gastos'!G65="Si",'Hipóteses Gastos'!E65,0)</f>
        <v>0</v>
      </c>
      <c r="F53" s="461">
        <f>'Hipóteses Gastos'!F65</f>
        <v>0</v>
      </c>
      <c r="G53" s="460">
        <f>E53-F53</f>
        <v>0</v>
      </c>
      <c r="H53" s="407" t="s">
        <v>763</v>
      </c>
      <c r="I53" s="459">
        <f>ROUNDDOWN(I51/I52,0)</f>
        <v>25</v>
      </c>
    </row>
    <row r="54" spans="2:10" x14ac:dyDescent="0.35">
      <c r="B54" s="458" t="s">
        <v>513</v>
      </c>
      <c r="C54" s="456">
        <f>'Hipóteses Gastos'!C66</f>
        <v>0</v>
      </c>
      <c r="D54" s="457">
        <f>'Hipóteses Gastos'!D66</f>
        <v>0</v>
      </c>
      <c r="E54" s="456">
        <f>IF('Hipóteses Gastos'!G66="Si",'Hipóteses Gastos'!E66,0)</f>
        <v>0</v>
      </c>
      <c r="F54" s="456">
        <f>'Hipóteses Gastos'!F66</f>
        <v>0</v>
      </c>
      <c r="G54" s="455">
        <f>E54-F54</f>
        <v>0</v>
      </c>
    </row>
    <row r="55" spans="2:10" ht="15" thickBot="1" x14ac:dyDescent="0.4">
      <c r="B55" s="454" t="s">
        <v>516</v>
      </c>
      <c r="C55" s="452">
        <f>'Hipóteses Gastos'!C67</f>
        <v>0</v>
      </c>
      <c r="D55" s="453">
        <f>'Hipóteses Gastos'!D67</f>
        <v>0</v>
      </c>
      <c r="E55" s="452">
        <f>IF('Hipóteses Gastos'!G67="Si",'Hipóteses Gastos'!E67,0)</f>
        <v>0</v>
      </c>
      <c r="F55" s="452">
        <f>'Hipóteses Gastos'!F67</f>
        <v>0</v>
      </c>
      <c r="G55" s="451">
        <f>E55-F55</f>
        <v>0</v>
      </c>
    </row>
    <row r="56" spans="2:10" ht="15" thickBot="1" x14ac:dyDescent="0.4">
      <c r="B56" s="450" t="s">
        <v>519</v>
      </c>
      <c r="C56" s="448">
        <f>'Hipóteses Gastos'!C68</f>
        <v>0</v>
      </c>
      <c r="D56" s="449">
        <f>'Hipóteses Gastos'!D68</f>
        <v>0</v>
      </c>
      <c r="E56" s="448">
        <f>IF('Hipóteses Gastos'!G68="Si",'Hipóteses Gastos'!E68,0)</f>
        <v>0</v>
      </c>
      <c r="F56" s="448">
        <f>'Hipóteses Gastos'!F68</f>
        <v>0</v>
      </c>
      <c r="G56" s="447">
        <f>E56-F56</f>
        <v>0</v>
      </c>
    </row>
    <row r="57" spans="2:10" ht="23.5" customHeight="1" thickTop="1" thickBot="1" x14ac:dyDescent="0.4">
      <c r="B57" s="446" t="s">
        <v>762</v>
      </c>
      <c r="C57" s="445"/>
      <c r="D57" s="444"/>
      <c r="E57" s="443">
        <f>SUM(E53:E56)</f>
        <v>0</v>
      </c>
      <c r="F57" s="443">
        <f>SUM(F53:F56)</f>
        <v>0</v>
      </c>
      <c r="G57" s="442">
        <f>SUM(G53:G56)</f>
        <v>0</v>
      </c>
      <c r="J57" s="6"/>
    </row>
    <row r="58" spans="2:10" ht="15" thickTop="1" x14ac:dyDescent="0.35">
      <c r="D58" s="1"/>
      <c r="E58" s="1"/>
      <c r="F58" s="1"/>
    </row>
    <row r="59" spans="2:10" ht="15" thickBot="1" x14ac:dyDescent="0.4">
      <c r="D59" s="1"/>
      <c r="E59" s="1"/>
      <c r="F59" s="1"/>
    </row>
    <row r="60" spans="2:10" x14ac:dyDescent="0.35">
      <c r="B60" s="420" t="s">
        <v>218</v>
      </c>
      <c r="C60" s="390"/>
      <c r="D60" s="1"/>
      <c r="E60" s="424" t="s">
        <v>761</v>
      </c>
      <c r="F60" s="1"/>
      <c r="G60" s="437" t="s">
        <v>760</v>
      </c>
      <c r="H60" s="430"/>
    </row>
    <row r="61" spans="2:10" ht="15" thickBot="1" x14ac:dyDescent="0.4">
      <c r="B61" s="435" t="s">
        <v>759</v>
      </c>
      <c r="C61" s="441">
        <f>'Hipóteses Xerais'!$F$24</f>
        <v>0.6</v>
      </c>
      <c r="D61" s="1"/>
      <c r="E61" s="423" t="str">
        <f>'Hipóteses Gastos'!$F$17</f>
        <v>Auto-explotación</v>
      </c>
      <c r="F61" s="1"/>
      <c r="G61" s="1838" t="str">
        <f>'Hipóteses Xerais'!$I$12</f>
        <v>Non</v>
      </c>
      <c r="H61" s="1839"/>
    </row>
    <row r="62" spans="2:10" ht="15" thickBot="1" x14ac:dyDescent="0.4">
      <c r="B62" s="440" t="s">
        <v>758</v>
      </c>
      <c r="C62" s="439">
        <f>$C$61*$C$17*$C$18</f>
        <v>42000</v>
      </c>
      <c r="D62" s="1"/>
      <c r="E62" s="1"/>
      <c r="F62" s="1"/>
    </row>
    <row r="63" spans="2:10" x14ac:dyDescent="0.35">
      <c r="B63" s="435" t="str">
        <f>B11</f>
        <v>Prazo da instalación (anos)</v>
      </c>
      <c r="C63" s="438">
        <f>$C$11</f>
        <v>25</v>
      </c>
      <c r="D63" s="1"/>
      <c r="E63" s="424" t="s">
        <v>221</v>
      </c>
      <c r="F63" s="1"/>
      <c r="G63" s="437" t="s">
        <v>431</v>
      </c>
      <c r="H63" s="430"/>
    </row>
    <row r="64" spans="2:10" ht="15" thickBot="1" x14ac:dyDescent="0.4">
      <c r="B64" s="435" t="s">
        <v>757</v>
      </c>
      <c r="C64" s="436" t="s">
        <v>756</v>
      </c>
      <c r="D64" s="1"/>
      <c r="E64" s="423" t="str">
        <f>'Hipóteses Xerais'!$F$23</f>
        <v>Si</v>
      </c>
      <c r="G64" s="1840" t="str">
        <f>'Hipóteses Gastos'!$F$42</f>
        <v>Si</v>
      </c>
      <c r="H64" s="1839"/>
    </row>
    <row r="65" spans="2:8" ht="15" thickBot="1" x14ac:dyDescent="0.4">
      <c r="B65" s="435" t="s">
        <v>755</v>
      </c>
      <c r="C65" s="434">
        <f>$C$62/$C$63</f>
        <v>1680</v>
      </c>
      <c r="D65" s="1"/>
    </row>
    <row r="66" spans="2:8" x14ac:dyDescent="0.35">
      <c r="D66" s="1"/>
      <c r="E66" s="424" t="s">
        <v>754</v>
      </c>
      <c r="G66" s="433" t="s">
        <v>753</v>
      </c>
      <c r="H66" s="432"/>
    </row>
    <row r="67" spans="2:8" ht="15" thickBot="1" x14ac:dyDescent="0.4">
      <c r="C67" s="1"/>
      <c r="D67" s="1"/>
      <c r="E67" s="423" t="str">
        <f>'Hipóteses Gastos'!$F$5</f>
        <v>Non</v>
      </c>
      <c r="G67" s="1841">
        <f>'Hipóteses Xerais'!$I$13</f>
        <v>800</v>
      </c>
      <c r="H67" s="1842"/>
    </row>
    <row r="68" spans="2:8" ht="15" thickBot="1" x14ac:dyDescent="0.4">
      <c r="D68" s="1"/>
    </row>
    <row r="69" spans="2:8" x14ac:dyDescent="0.35">
      <c r="B69" s="420" t="s">
        <v>752</v>
      </c>
      <c r="C69" s="390"/>
      <c r="E69" s="424" t="s">
        <v>313</v>
      </c>
      <c r="G69" s="431" t="s">
        <v>751</v>
      </c>
      <c r="H69" s="430"/>
    </row>
    <row r="70" spans="2:8" ht="15" thickBot="1" x14ac:dyDescent="0.4">
      <c r="B70" s="429" t="s">
        <v>309</v>
      </c>
      <c r="C70" s="428">
        <f>'Hipóteses Xerais'!$C$25</f>
        <v>1</v>
      </c>
      <c r="E70" s="423" t="str">
        <f>'Hipóteses Xerais'!$C$26</f>
        <v>Si</v>
      </c>
      <c r="G70" s="1838" t="str">
        <f>'Hipóteses Xerais'!$I$14</f>
        <v>Fixo</v>
      </c>
      <c r="H70" s="1839"/>
    </row>
    <row r="71" spans="2:8" ht="39.5" thickBot="1" x14ac:dyDescent="0.4">
      <c r="B71" s="427" t="s">
        <v>317</v>
      </c>
      <c r="C71" s="426">
        <f>'Hipóteses Xerais'!$C$27</f>
        <v>0.75</v>
      </c>
      <c r="D71" s="1"/>
    </row>
    <row r="72" spans="2:8" ht="52.5" thickBot="1" x14ac:dyDescent="0.4">
      <c r="D72" s="7"/>
      <c r="G72" s="425" t="s">
        <v>495</v>
      </c>
    </row>
    <row r="73" spans="2:8" ht="15" thickBot="1" x14ac:dyDescent="0.4">
      <c r="B73" s="420" t="s">
        <v>750</v>
      </c>
      <c r="C73" s="390"/>
      <c r="D73" s="7"/>
      <c r="E73" s="424" t="s">
        <v>301</v>
      </c>
      <c r="G73" s="423" t="str">
        <f>'Hipóteses Gastos'!$B$54</f>
        <v>Non</v>
      </c>
    </row>
    <row r="74" spans="2:8" ht="26.5" thickBot="1" x14ac:dyDescent="0.4">
      <c r="B74" s="383" t="s">
        <v>749</v>
      </c>
      <c r="C74" s="382">
        <f>IF($G$70="Proporcional",($C$20*($C$18*$C$17)),$C$14)</f>
        <v>150</v>
      </c>
      <c r="D74" s="7"/>
      <c r="E74" s="423" t="str">
        <f>'Hipóteses Xerais'!$C$24</f>
        <v>Compensación</v>
      </c>
    </row>
    <row r="75" spans="2:8" x14ac:dyDescent="0.35">
      <c r="B75" s="419" t="s">
        <v>204</v>
      </c>
      <c r="C75" s="422">
        <f>'Hipóteses Xerais'!$I$19</f>
        <v>0.2</v>
      </c>
      <c r="D75" s="1"/>
    </row>
    <row r="76" spans="2:8" x14ac:dyDescent="0.35">
      <c r="B76" s="414" t="s">
        <v>748</v>
      </c>
      <c r="C76" s="413">
        <f>$C$75*($C$17*$C$18)</f>
        <v>14000</v>
      </c>
    </row>
    <row r="77" spans="2:8" x14ac:dyDescent="0.35">
      <c r="B77" s="409" t="s">
        <v>208</v>
      </c>
      <c r="C77" s="421">
        <f>'Hipóteses Xerais'!$I$20</f>
        <v>15</v>
      </c>
      <c r="E77" s="420" t="s">
        <v>747</v>
      </c>
      <c r="F77" s="390"/>
      <c r="G77" s="420"/>
    </row>
    <row r="78" spans="2:8" x14ac:dyDescent="0.35">
      <c r="B78" s="419" t="s">
        <v>746</v>
      </c>
      <c r="C78" s="418">
        <f>100%-$C$75</f>
        <v>0.8</v>
      </c>
      <c r="E78" s="417" t="s">
        <v>76</v>
      </c>
      <c r="F78" s="416">
        <f>'Hipóteses Xerais'!$I$5</f>
        <v>400</v>
      </c>
      <c r="G78" s="415" t="s">
        <v>80</v>
      </c>
    </row>
    <row r="79" spans="2:8" ht="15" thickBot="1" x14ac:dyDescent="0.4">
      <c r="B79" s="414" t="s">
        <v>745</v>
      </c>
      <c r="C79" s="413">
        <f>IF(G61="Non",($C$78*($C$17*$C$18)),($C$78*($C$17*$C$18))+$G$67)</f>
        <v>56000</v>
      </c>
      <c r="E79" s="412" t="s">
        <v>744</v>
      </c>
      <c r="F79" s="411">
        <f>100/500</f>
        <v>0.2</v>
      </c>
      <c r="G79" s="410">
        <f>'Hipóteses Xerais'!$I$6</f>
        <v>50</v>
      </c>
    </row>
    <row r="80" spans="2:8" ht="15" thickBot="1" x14ac:dyDescent="0.4">
      <c r="B80" s="409" t="s">
        <v>743</v>
      </c>
      <c r="C80" s="408">
        <f>$C$11</f>
        <v>25</v>
      </c>
      <c r="E80" s="407" t="s">
        <v>742</v>
      </c>
      <c r="F80" s="406">
        <f>(F78-G79)*F79</f>
        <v>70</v>
      </c>
    </row>
    <row r="81" spans="2:10" x14ac:dyDescent="0.35">
      <c r="B81" s="405" t="s">
        <v>741</v>
      </c>
      <c r="C81" s="400">
        <f>$C$76/$C$77</f>
        <v>933.33333333333337</v>
      </c>
    </row>
    <row r="82" spans="2:10" ht="26" x14ac:dyDescent="0.35">
      <c r="B82" s="383" t="s">
        <v>740</v>
      </c>
      <c r="C82" s="404">
        <f>$C$79/$C$80</f>
        <v>2240</v>
      </c>
      <c r="E82" s="223" t="s">
        <v>739</v>
      </c>
      <c r="F82" s="403" t="s">
        <v>738</v>
      </c>
      <c r="H82" s="223" t="s">
        <v>458</v>
      </c>
      <c r="J82" s="402" t="s">
        <v>462</v>
      </c>
    </row>
    <row r="83" spans="2:10" ht="15" thickBot="1" x14ac:dyDescent="0.4">
      <c r="B83" s="401" t="s">
        <v>737</v>
      </c>
      <c r="C83" s="400">
        <f>$C$74/$C$11</f>
        <v>6</v>
      </c>
      <c r="E83" s="385" t="s">
        <v>69</v>
      </c>
      <c r="F83" s="399">
        <v>1099</v>
      </c>
      <c r="H83" s="398" t="str">
        <f>'Hipóteses Xerais'!$B$37</f>
        <v>Manual</v>
      </c>
      <c r="J83" s="397" t="str">
        <f>'Hipóteses Xerais'!$E$37</f>
        <v>Manual</v>
      </c>
    </row>
    <row r="84" spans="2:10" ht="15.5" thickTop="1" thickBot="1" x14ac:dyDescent="0.4">
      <c r="B84" s="396" t="s">
        <v>736</v>
      </c>
      <c r="C84" s="395">
        <f>C81+C82+C83</f>
        <v>3179.3333333333335</v>
      </c>
      <c r="E84" s="393" t="s">
        <v>70</v>
      </c>
      <c r="F84" s="392">
        <v>1152</v>
      </c>
      <c r="J84" s="394"/>
    </row>
    <row r="85" spans="2:10" ht="27" thickTop="1" thickBot="1" x14ac:dyDescent="0.4">
      <c r="B85" s="19"/>
      <c r="E85" s="393" t="s">
        <v>71</v>
      </c>
      <c r="F85" s="392">
        <v>1225</v>
      </c>
      <c r="H85" s="223" t="s">
        <v>471</v>
      </c>
      <c r="J85" s="391" t="s">
        <v>735</v>
      </c>
    </row>
    <row r="86" spans="2:10" ht="27" thickTop="1" thickBot="1" x14ac:dyDescent="0.4">
      <c r="B86" s="223" t="s">
        <v>734</v>
      </c>
      <c r="C86" s="390"/>
      <c r="E86" s="389" t="s">
        <v>3</v>
      </c>
      <c r="F86" s="388">
        <v>1276</v>
      </c>
      <c r="H86" s="387">
        <f>IF(H83="Automática (Só Galicia)", "Non Aplicable", IF(H83="Manual",'Hipóteses Xerais'!$B$40, "ERRO"))</f>
        <v>1276</v>
      </c>
      <c r="J86" s="386">
        <f>IF($J$83="Automática (Só Galicia)", "Non Aplicable", IF(H83="Manual", 'Hipóteses Xerais'!$E$40, "ERRO"))</f>
        <v>294.41000000000003</v>
      </c>
    </row>
    <row r="87" spans="2:10" ht="15" thickTop="1" x14ac:dyDescent="0.35">
      <c r="B87" s="383" t="s">
        <v>733</v>
      </c>
      <c r="C87" s="382">
        <f>$C$76</f>
        <v>14000</v>
      </c>
    </row>
    <row r="88" spans="2:10" x14ac:dyDescent="0.35">
      <c r="B88" s="385" t="s">
        <v>732</v>
      </c>
      <c r="C88" s="384">
        <f>ROUNDDOWN(($C$63/$C$77),0)</f>
        <v>1</v>
      </c>
    </row>
    <row r="89" spans="2:10" ht="15" thickBot="1" x14ac:dyDescent="0.4">
      <c r="B89" s="383" t="s">
        <v>731</v>
      </c>
      <c r="C89" s="382">
        <f>C87*C88</f>
        <v>14000</v>
      </c>
    </row>
    <row r="90" spans="2:10" ht="40" thickTop="1" thickBot="1" x14ac:dyDescent="0.4">
      <c r="E90" s="123" t="s">
        <v>32</v>
      </c>
      <c r="F90" s="66"/>
      <c r="H90" s="224" t="s">
        <v>730</v>
      </c>
      <c r="I90" s="226" t="s">
        <v>526</v>
      </c>
    </row>
    <row r="91" spans="2:10" ht="15" thickTop="1" x14ac:dyDescent="0.35">
      <c r="B91" s="223" t="s">
        <v>729</v>
      </c>
      <c r="C91" s="381">
        <f>(C76+C79+C74)+C89</f>
        <v>84150</v>
      </c>
      <c r="E91" s="90" t="s">
        <v>36</v>
      </c>
      <c r="F91" s="380" t="str">
        <f>'Hipóteses Xerais'!$C$6</f>
        <v>Estranxeiro</v>
      </c>
      <c r="H91" s="116" t="s">
        <v>728</v>
      </c>
      <c r="I91" s="227" t="str">
        <f>'Hipóteses Xerais'!$C$44</f>
        <v>Verificación Correcta</v>
      </c>
    </row>
    <row r="92" spans="2:10" ht="26.5" thickBot="1" x14ac:dyDescent="0.4">
      <c r="E92" s="90" t="s">
        <v>46</v>
      </c>
      <c r="F92" s="250" t="str">
        <f>'Hipóteses Xerais'!C7</f>
        <v>******</v>
      </c>
      <c r="H92" s="379" t="s">
        <v>727</v>
      </c>
      <c r="I92" s="378" t="str">
        <f>'Hipóteses Xerais'!$C$45</f>
        <v>Verificación Correcta</v>
      </c>
    </row>
    <row r="93" spans="2:10" ht="15.5" thickTop="1" thickBot="1" x14ac:dyDescent="0.4">
      <c r="E93" s="98" t="s">
        <v>53</v>
      </c>
      <c r="F93" s="251" t="str">
        <f>'Hipóteses Xerais'!C8</f>
        <v>******</v>
      </c>
    </row>
    <row r="94" spans="2:10" ht="15.5" thickTop="1" thickBot="1" x14ac:dyDescent="0.4">
      <c r="B94" s="223" t="s">
        <v>498</v>
      </c>
      <c r="C94" s="377" t="str">
        <f>'Hipóteses Gastos'!$B$57</f>
        <v>Non</v>
      </c>
    </row>
    <row r="95" spans="2:10" ht="15" thickBot="1" x14ac:dyDescent="0.4"/>
    <row r="96" spans="2:10" ht="15" thickBot="1" x14ac:dyDescent="0.4">
      <c r="B96" s="223" t="s">
        <v>251</v>
      </c>
      <c r="C96" s="377" t="str">
        <f>'Hipóteses Xerais'!$F$32</f>
        <v>Non</v>
      </c>
    </row>
  </sheetData>
  <mergeCells count="4">
    <mergeCell ref="G61:H61"/>
    <mergeCell ref="G64:H64"/>
    <mergeCell ref="G67:H67"/>
    <mergeCell ref="G70:H70"/>
  </mergeCells>
  <conditionalFormatting sqref="I91:I92">
    <cfRule type="cellIs" dxfId="6" priority="1" operator="equal">
      <formula>"Verificación Correcta"</formula>
    </cfRule>
    <cfRule type="cellIs" dxfId="5" priority="2" operator="equal">
      <formula>"Verificación Errónea"</formula>
    </cfRule>
    <cfRule type="cellIs" dxfId="4" priority="3" operator="equal">
      <formula>"Verificación Non Aplicable"</formula>
    </cfRule>
  </conditionalFormatting>
  <dataValidations count="9">
    <dataValidation type="list" allowBlank="1" showDropDown="1" showInputMessage="1" showErrorMessage="1" sqref="H83 J83" xr:uid="{EBD3D7EC-02D3-4FCF-A133-BC10EF53695F}">
      <formula1>"Automática (Só Galicia), Manual"</formula1>
    </dataValidation>
    <dataValidation type="list" allowBlank="1" showDropDown="1" showInputMessage="1" showErrorMessage="1" sqref="F91" xr:uid="{536A2994-37F6-4564-BF0E-EA0491B14F5C}">
      <formula1>"Galicia, Resto de España, Estranxeiro"</formula1>
    </dataValidation>
    <dataValidation type="list" allowBlank="1" showDropDown="1" showInputMessage="1" showErrorMessage="1" sqref="G70:H70" xr:uid="{0F034A1D-FD64-4FC7-B79A-C6FF119206B5}">
      <formula1>"Fixo,Proporcional"</formula1>
    </dataValidation>
    <dataValidation type="decimal" allowBlank="1" showInputMessage="1" showErrorMessage="1" sqref="G67:H67" xr:uid="{A4447F2E-DE4A-4DBB-B7BA-8C0A84BF509E}">
      <formula1>0</formula1>
      <formula2>100000</formula2>
    </dataValidation>
    <dataValidation type="list" allowBlank="1" showDropDown="1" showInputMessage="1" showErrorMessage="1" sqref="E61" xr:uid="{DB656872-E66E-4174-8701-D336B3887DF4}">
      <formula1>"Persoal Propio,Subcontratación,Auto-explotación"</formula1>
    </dataValidation>
    <dataValidation type="list" allowBlank="1" showInputMessage="1" showErrorMessage="1" sqref="F48" xr:uid="{72A50C29-DC1E-4882-BE27-5DEE52E5BE03}">
      <formula1>$E$83:$E$86</formula1>
    </dataValidation>
    <dataValidation type="list" allowBlank="1" showDropDown="1" showInputMessage="1" showErrorMessage="1" sqref="E74" xr:uid="{0A68D81D-FE5F-474C-B119-50E2BDCC464E}">
      <formula1>"Compensación,Venda"</formula1>
    </dataValidation>
    <dataValidation type="list" allowBlank="1" showDropDown="1" showInputMessage="1" showErrorMessage="1" sqref="C96 C36 E64 E67 E70 G61:H61 G64:H64 G73 C94" xr:uid="{69196374-B5A2-4679-8509-FF63EFF9BABD}">
      <formula1>"Si,Non"</formula1>
    </dataValidation>
    <dataValidation type="whole" allowBlank="1" showInputMessage="1" showErrorMessage="1" errorTitle="NUMERO DE MESES NO VALIDO" error="El número de meses indicado no tiene sentido" promptTitle="EL NUMERO DE MES ENTRE 1 y 12" sqref="F16:F20 F63 C67:C68" xr:uid="{00000000-0002-0000-0100-000000000000}">
      <formula1>1</formula1>
      <formula2>12</formula2>
    </dataValidation>
  </dataValidations>
  <printOptions horizontalCentered="1" verticalCentered="1"/>
  <pageMargins left="0.23622047244094491" right="0.23622047244094491" top="0.15748031496062992" bottom="0.15748031496062992" header="0.31496062992125984" footer="0.31496062992125984"/>
  <pageSetup paperSize="9" fitToHeight="0" orientation="landscape" horizontalDpi="1200" verticalDpi="1200"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C5A25-07F0-455C-A236-C05B96469AE7}">
  <dimension ref="A1:C25"/>
  <sheetViews>
    <sheetView topLeftCell="A9" workbookViewId="0">
      <selection activeCell="F2" sqref="F2"/>
    </sheetView>
  </sheetViews>
  <sheetFormatPr baseColWidth="10" defaultColWidth="10.90625" defaultRowHeight="14.5" x14ac:dyDescent="0.35"/>
  <cols>
    <col min="1" max="1" width="64.453125" bestFit="1" customWidth="1"/>
    <col min="2" max="2" width="11.81640625" bestFit="1" customWidth="1"/>
    <col min="3" max="3" width="12.54296875" bestFit="1" customWidth="1"/>
  </cols>
  <sheetData>
    <row r="1" spans="1:3" ht="15" thickBot="1" x14ac:dyDescent="0.4"/>
    <row r="2" spans="1:3" ht="15" thickBot="1" x14ac:dyDescent="0.4">
      <c r="A2" s="1038" t="s">
        <v>1040</v>
      </c>
    </row>
    <row r="5" spans="1:3" x14ac:dyDescent="0.35">
      <c r="A5" s="1039" t="s">
        <v>1041</v>
      </c>
      <c r="B5" s="1039" t="s">
        <v>1042</v>
      </c>
      <c r="C5" s="1040" t="s">
        <v>1043</v>
      </c>
    </row>
    <row r="6" spans="1:3" x14ac:dyDescent="0.35">
      <c r="A6" s="1041" t="s">
        <v>1044</v>
      </c>
      <c r="B6" s="1042">
        <f>C6/12</f>
        <v>876.75</v>
      </c>
      <c r="C6" s="1043">
        <v>10521</v>
      </c>
    </row>
    <row r="7" spans="1:3" x14ac:dyDescent="0.35">
      <c r="A7" s="1044" t="s">
        <v>1045</v>
      </c>
      <c r="B7" s="1045">
        <v>0.35099999999999998</v>
      </c>
      <c r="C7" s="1045">
        <v>0.35099999999999998</v>
      </c>
    </row>
    <row r="8" spans="1:3" ht="29" x14ac:dyDescent="0.35">
      <c r="A8" s="1046" t="s">
        <v>1046</v>
      </c>
      <c r="B8" s="1047">
        <f>B6*B7</f>
        <v>307.73924999999997</v>
      </c>
      <c r="C8" s="1048">
        <f>C6*C7</f>
        <v>3692.8709999999996</v>
      </c>
    </row>
    <row r="10" spans="1:3" x14ac:dyDescent="0.35">
      <c r="A10" s="1049" t="s">
        <v>1047</v>
      </c>
      <c r="B10" s="1039" t="s">
        <v>1042</v>
      </c>
      <c r="C10" s="1040" t="s">
        <v>1043</v>
      </c>
    </row>
    <row r="11" spans="1:3" x14ac:dyDescent="0.35">
      <c r="A11" s="1041" t="s">
        <v>1044</v>
      </c>
      <c r="B11" s="1042">
        <f>C11/12</f>
        <v>860.91666666666663</v>
      </c>
      <c r="C11" s="1043">
        <v>10331</v>
      </c>
    </row>
    <row r="12" spans="1:3" x14ac:dyDescent="0.35">
      <c r="A12" s="1044" t="s">
        <v>1048</v>
      </c>
      <c r="B12" s="1045">
        <f>7814736/((47267/0.0036)+7814736)</f>
        <v>0.37311712325451835</v>
      </c>
      <c r="C12" s="1045">
        <f>7814736/((47267/0.0036)+7814736)</f>
        <v>0.37311712325451835</v>
      </c>
    </row>
    <row r="13" spans="1:3" ht="29" x14ac:dyDescent="0.35">
      <c r="A13" s="1046" t="s">
        <v>1049</v>
      </c>
      <c r="B13" s="1050">
        <f>B11*B12</f>
        <v>321.22275002853576</v>
      </c>
      <c r="C13" s="1048">
        <f>C11*C12</f>
        <v>3854.6730003424291</v>
      </c>
    </row>
    <row r="16" spans="1:3" x14ac:dyDescent="0.35">
      <c r="A16" s="1049" t="s">
        <v>1050</v>
      </c>
      <c r="B16" s="1039">
        <v>2010</v>
      </c>
      <c r="C16" s="1040">
        <v>2022</v>
      </c>
    </row>
    <row r="17" spans="1:3" ht="43.5" x14ac:dyDescent="0.35">
      <c r="A17" s="1051" t="s">
        <v>1051</v>
      </c>
      <c r="B17" s="1052">
        <v>21049</v>
      </c>
      <c r="C17" s="1052">
        <v>19292</v>
      </c>
    </row>
    <row r="18" spans="1:3" x14ac:dyDescent="0.35">
      <c r="A18" s="1053" t="s">
        <v>1052</v>
      </c>
      <c r="B18" s="1054"/>
      <c r="C18" s="1055">
        <f>C17/B17</f>
        <v>0.91652810109743932</v>
      </c>
    </row>
    <row r="20" spans="1:3" x14ac:dyDescent="0.35">
      <c r="B20" s="1039" t="s">
        <v>1042</v>
      </c>
      <c r="C20" s="1040" t="s">
        <v>1043</v>
      </c>
    </row>
    <row r="21" spans="1:3" ht="29" x14ac:dyDescent="0.35">
      <c r="A21" s="1056" t="s">
        <v>1053</v>
      </c>
      <c r="B21" s="1057">
        <f>B13*$C$18</f>
        <v>294.40967711295127</v>
      </c>
      <c r="C21" s="1047">
        <f>C13*$C$18</f>
        <v>3532.9161253554157</v>
      </c>
    </row>
    <row r="23" spans="1:3" ht="15" thickBot="1" x14ac:dyDescent="0.4"/>
    <row r="24" spans="1:3" ht="15" thickBot="1" x14ac:dyDescent="0.4">
      <c r="B24" s="793" t="s">
        <v>1042</v>
      </c>
      <c r="C24" s="1058" t="s">
        <v>1043</v>
      </c>
    </row>
    <row r="25" spans="1:3" ht="15" thickBot="1" x14ac:dyDescent="0.4">
      <c r="A25" s="1059" t="s">
        <v>1054</v>
      </c>
      <c r="B25" s="1060">
        <f>B21*25</f>
        <v>7360.2419278237821</v>
      </c>
      <c r="C25" s="1061">
        <f>C21*25</f>
        <v>88322.903133885397</v>
      </c>
    </row>
  </sheetData>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79E60-5B1F-469D-B48F-923DF210A143}">
  <dimension ref="B2:H18"/>
  <sheetViews>
    <sheetView workbookViewId="0">
      <selection activeCell="F2" sqref="F2"/>
    </sheetView>
  </sheetViews>
  <sheetFormatPr baseColWidth="10" defaultColWidth="11.453125" defaultRowHeight="14.5" x14ac:dyDescent="0.35"/>
  <cols>
    <col min="2" max="2" width="38.54296875" bestFit="1" customWidth="1"/>
  </cols>
  <sheetData>
    <row r="2" spans="2:8" ht="15.5" x14ac:dyDescent="0.35">
      <c r="B2" s="555" t="s">
        <v>835</v>
      </c>
    </row>
    <row r="3" spans="2:8" ht="15" thickBot="1" x14ac:dyDescent="0.4"/>
    <row r="4" spans="2:8" ht="15" thickTop="1" x14ac:dyDescent="0.35">
      <c r="B4" s="554"/>
      <c r="C4" s="1843"/>
      <c r="D4" s="1844"/>
      <c r="E4" s="1843"/>
      <c r="F4" s="1844"/>
      <c r="G4" s="1843"/>
      <c r="H4" s="1844"/>
    </row>
    <row r="5" spans="2:8" ht="15" thickBot="1" x14ac:dyDescent="0.4">
      <c r="B5" s="554"/>
      <c r="C5" s="551"/>
      <c r="D5" s="550"/>
      <c r="E5" s="553"/>
      <c r="F5" s="552"/>
      <c r="G5" s="551"/>
      <c r="H5" s="550"/>
    </row>
    <row r="6" spans="2:8" ht="15" thickTop="1" x14ac:dyDescent="0.35">
      <c r="B6" s="549">
        <v>2025</v>
      </c>
      <c r="C6" s="548"/>
      <c r="D6" s="546"/>
      <c r="E6" s="547"/>
      <c r="F6" s="546"/>
      <c r="G6" s="547">
        <v>0</v>
      </c>
      <c r="H6" s="546">
        <v>0</v>
      </c>
    </row>
    <row r="7" spans="2:8" x14ac:dyDescent="0.35">
      <c r="B7" s="545" t="s">
        <v>834</v>
      </c>
      <c r="C7" s="544"/>
      <c r="D7" s="542"/>
      <c r="E7" s="543"/>
      <c r="F7" s="542"/>
      <c r="G7" s="543">
        <v>0</v>
      </c>
      <c r="H7" s="542">
        <v>0</v>
      </c>
    </row>
    <row r="8" spans="2:8" ht="15" thickBot="1" x14ac:dyDescent="0.4">
      <c r="B8" s="540" t="s">
        <v>833</v>
      </c>
      <c r="C8" s="539"/>
      <c r="D8" s="538"/>
      <c r="E8" s="541"/>
      <c r="F8" s="538"/>
      <c r="G8" s="541">
        <v>0</v>
      </c>
      <c r="H8" s="538">
        <v>0</v>
      </c>
    </row>
    <row r="9" spans="2:8" ht="15.5" thickTop="1" thickBot="1" x14ac:dyDescent="0.4">
      <c r="B9" s="540" t="s">
        <v>832</v>
      </c>
      <c r="C9" s="539"/>
      <c r="D9" s="538"/>
      <c r="E9" s="539"/>
      <c r="F9" s="538"/>
      <c r="G9" s="539">
        <f>(G6+4*G7+G8*20)/25</f>
        <v>0</v>
      </c>
      <c r="H9" s="538">
        <f>(H6+4*H7+H8*20)/25</f>
        <v>0</v>
      </c>
    </row>
    <row r="10" spans="2:8" ht="15" thickTop="1" x14ac:dyDescent="0.35"/>
    <row r="12" spans="2:8" ht="15" thickBot="1" x14ac:dyDescent="0.4"/>
    <row r="13" spans="2:8" ht="15" thickTop="1" x14ac:dyDescent="0.35">
      <c r="B13" s="537" t="s">
        <v>831</v>
      </c>
      <c r="C13" s="536">
        <v>0.02</v>
      </c>
    </row>
    <row r="14" spans="2:8" x14ac:dyDescent="0.35">
      <c r="B14" s="171" t="s">
        <v>830</v>
      </c>
      <c r="C14" s="535">
        <v>0.02</v>
      </c>
    </row>
    <row r="15" spans="2:8" x14ac:dyDescent="0.35">
      <c r="B15" s="171" t="s">
        <v>829</v>
      </c>
      <c r="C15" s="535">
        <v>0.02</v>
      </c>
    </row>
    <row r="16" spans="2:8" x14ac:dyDescent="0.35">
      <c r="B16" s="171" t="s">
        <v>773</v>
      </c>
      <c r="C16" s="535">
        <f>'Hipóteses xerais (2)'!C49</f>
        <v>1.2550000000000002E-2</v>
      </c>
    </row>
    <row r="17" spans="2:3" ht="15" thickBot="1" x14ac:dyDescent="0.4">
      <c r="B17" s="534" t="s">
        <v>771</v>
      </c>
      <c r="C17" s="533">
        <f>C16+2%</f>
        <v>3.2550000000000003E-2</v>
      </c>
    </row>
    <row r="18" spans="2:3" ht="15" thickTop="1" x14ac:dyDescent="0.35"/>
  </sheetData>
  <mergeCells count="3">
    <mergeCell ref="C4:D4"/>
    <mergeCell ref="E4:F4"/>
    <mergeCell ref="G4:H4"/>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5F22E-9D59-4766-B931-149EF0C3192F}">
  <dimension ref="A2:F27"/>
  <sheetViews>
    <sheetView topLeftCell="A6" workbookViewId="0">
      <selection activeCell="F2" sqref="F2"/>
    </sheetView>
  </sheetViews>
  <sheetFormatPr baseColWidth="10" defaultColWidth="11.453125" defaultRowHeight="14.5" x14ac:dyDescent="0.35"/>
  <cols>
    <col min="1" max="1" width="11" bestFit="1" customWidth="1"/>
    <col min="2" max="5" width="11.54296875" bestFit="1" customWidth="1"/>
    <col min="6" max="6" width="11" bestFit="1" customWidth="1"/>
  </cols>
  <sheetData>
    <row r="2" spans="1:6" ht="15.5" x14ac:dyDescent="0.35">
      <c r="A2" s="555" t="s">
        <v>847</v>
      </c>
    </row>
    <row r="3" spans="1:6" ht="15" thickBot="1" x14ac:dyDescent="0.4">
      <c r="A3" s="600"/>
      <c r="B3" s="599"/>
      <c r="C3" s="599"/>
      <c r="D3" s="599"/>
      <c r="E3" s="599"/>
      <c r="F3" s="598"/>
    </row>
    <row r="4" spans="1:6" ht="15" thickTop="1" x14ac:dyDescent="0.35">
      <c r="A4" s="597"/>
      <c r="B4" s="596" t="s">
        <v>846</v>
      </c>
      <c r="C4" s="595">
        <f>'Hipóteses xerais (2)'!$F$32</f>
        <v>3.0000000000000001E-3</v>
      </c>
      <c r="D4" s="594">
        <f>E11*C4</f>
        <v>0</v>
      </c>
      <c r="E4" s="593"/>
      <c r="F4" s="592"/>
    </row>
    <row r="5" spans="1:6" x14ac:dyDescent="0.35">
      <c r="A5" s="581"/>
      <c r="B5" s="591"/>
      <c r="C5" s="587"/>
      <c r="D5" s="590"/>
      <c r="E5" s="589" t="s">
        <v>845</v>
      </c>
      <c r="F5" s="582">
        <f>'Hipóteses xerais (2)'!$F$13</f>
        <v>15</v>
      </c>
    </row>
    <row r="6" spans="1:6" x14ac:dyDescent="0.35">
      <c r="A6" s="581"/>
      <c r="B6" s="588"/>
      <c r="C6" s="587"/>
      <c r="D6" s="578"/>
      <c r="E6" s="586" t="s">
        <v>844</v>
      </c>
      <c r="F6" s="582">
        <f>'Hipóteses xerais (2)'!$F$14</f>
        <v>0</v>
      </c>
    </row>
    <row r="7" spans="1:6" x14ac:dyDescent="0.35">
      <c r="A7" s="581"/>
      <c r="B7" s="585" t="s">
        <v>843</v>
      </c>
      <c r="C7" s="584">
        <f>'Hipóteses xerais (2)'!$F$31</f>
        <v>6.6860000000000003E-2</v>
      </c>
      <c r="D7" s="578"/>
      <c r="E7" s="583" t="s">
        <v>842</v>
      </c>
      <c r="F7" s="582">
        <v>15</v>
      </c>
    </row>
    <row r="8" spans="1:6" x14ac:dyDescent="0.35">
      <c r="A8" s="581"/>
      <c r="B8" s="580"/>
      <c r="C8" s="579"/>
      <c r="D8" s="578"/>
      <c r="E8" s="577"/>
      <c r="F8" s="564"/>
    </row>
    <row r="9" spans="1:6" x14ac:dyDescent="0.35">
      <c r="A9" s="576" t="s">
        <v>841</v>
      </c>
      <c r="B9" s="575">
        <f>SUM(B12:B191)</f>
        <v>0</v>
      </c>
      <c r="C9" s="575">
        <f>SUM(C12:C227)</f>
        <v>0</v>
      </c>
      <c r="D9" s="575">
        <f>SUM(D12:D227)</f>
        <v>0</v>
      </c>
      <c r="E9" s="575"/>
      <c r="F9" s="574"/>
    </row>
    <row r="10" spans="1:6" ht="43.5" x14ac:dyDescent="0.35">
      <c r="A10" s="573" t="s">
        <v>840</v>
      </c>
      <c r="B10" s="571" t="s">
        <v>839</v>
      </c>
      <c r="C10" s="571" t="s">
        <v>838</v>
      </c>
      <c r="D10" s="572" t="s">
        <v>837</v>
      </c>
      <c r="E10" s="571" t="s">
        <v>836</v>
      </c>
      <c r="F10" s="570"/>
    </row>
    <row r="11" spans="1:6" x14ac:dyDescent="0.35">
      <c r="A11" s="569">
        <v>15</v>
      </c>
      <c r="B11" s="566">
        <f>PMT(C11,A11,-E11)</f>
        <v>0</v>
      </c>
      <c r="C11" s="568">
        <f>C7</f>
        <v>6.6860000000000003E-2</v>
      </c>
      <c r="D11" s="567"/>
      <c r="E11" s="566">
        <f>'Hipóteses xerais (2)'!F12</f>
        <v>0</v>
      </c>
      <c r="F11" s="565"/>
    </row>
    <row r="12" spans="1:6" x14ac:dyDescent="0.35">
      <c r="A12" s="563">
        <v>1</v>
      </c>
      <c r="B12" s="562">
        <f t="shared" ref="B12:B26" si="0">PMT($C$11,$A$11,-$E$11)</f>
        <v>0</v>
      </c>
      <c r="C12" s="562">
        <f t="shared" ref="C12:C26" si="1">E11*$C$11</f>
        <v>0</v>
      </c>
      <c r="D12" s="562">
        <f t="shared" ref="D12:D26" si="2">B12-C12</f>
        <v>0</v>
      </c>
      <c r="E12" s="561">
        <f t="shared" ref="E12:E26" si="3">E11-D12</f>
        <v>0</v>
      </c>
      <c r="F12" s="564"/>
    </row>
    <row r="13" spans="1:6" x14ac:dyDescent="0.35">
      <c r="A13" s="563">
        <v>2</v>
      </c>
      <c r="B13" s="562">
        <f t="shared" si="0"/>
        <v>0</v>
      </c>
      <c r="C13" s="562">
        <f t="shared" si="1"/>
        <v>0</v>
      </c>
      <c r="D13" s="562">
        <f t="shared" si="2"/>
        <v>0</v>
      </c>
      <c r="E13" s="561">
        <f t="shared" si="3"/>
        <v>0</v>
      </c>
      <c r="F13" s="564"/>
    </row>
    <row r="14" spans="1:6" x14ac:dyDescent="0.35">
      <c r="A14" s="563">
        <v>3</v>
      </c>
      <c r="B14" s="562">
        <f t="shared" si="0"/>
        <v>0</v>
      </c>
      <c r="C14" s="562">
        <f t="shared" si="1"/>
        <v>0</v>
      </c>
      <c r="D14" s="562">
        <f t="shared" si="2"/>
        <v>0</v>
      </c>
      <c r="E14" s="561">
        <f t="shared" si="3"/>
        <v>0</v>
      </c>
      <c r="F14" s="564"/>
    </row>
    <row r="15" spans="1:6" x14ac:dyDescent="0.35">
      <c r="A15" s="563">
        <v>4</v>
      </c>
      <c r="B15" s="562">
        <f t="shared" si="0"/>
        <v>0</v>
      </c>
      <c r="C15" s="562">
        <f t="shared" si="1"/>
        <v>0</v>
      </c>
      <c r="D15" s="562">
        <f t="shared" si="2"/>
        <v>0</v>
      </c>
      <c r="E15" s="561">
        <f t="shared" si="3"/>
        <v>0</v>
      </c>
      <c r="F15" s="560"/>
    </row>
    <row r="16" spans="1:6" x14ac:dyDescent="0.35">
      <c r="A16" s="563">
        <v>5</v>
      </c>
      <c r="B16" s="562">
        <f t="shared" si="0"/>
        <v>0</v>
      </c>
      <c r="C16" s="562">
        <f t="shared" si="1"/>
        <v>0</v>
      </c>
      <c r="D16" s="562">
        <f t="shared" si="2"/>
        <v>0</v>
      </c>
      <c r="E16" s="561">
        <f t="shared" si="3"/>
        <v>0</v>
      </c>
      <c r="F16" s="560"/>
    </row>
    <row r="17" spans="1:6" x14ac:dyDescent="0.35">
      <c r="A17" s="563">
        <v>6</v>
      </c>
      <c r="B17" s="562">
        <f t="shared" si="0"/>
        <v>0</v>
      </c>
      <c r="C17" s="562">
        <f t="shared" si="1"/>
        <v>0</v>
      </c>
      <c r="D17" s="562">
        <f t="shared" si="2"/>
        <v>0</v>
      </c>
      <c r="E17" s="561">
        <f t="shared" si="3"/>
        <v>0</v>
      </c>
      <c r="F17" s="560"/>
    </row>
    <row r="18" spans="1:6" x14ac:dyDescent="0.35">
      <c r="A18" s="563">
        <v>7</v>
      </c>
      <c r="B18" s="562">
        <f t="shared" si="0"/>
        <v>0</v>
      </c>
      <c r="C18" s="562">
        <f t="shared" si="1"/>
        <v>0</v>
      </c>
      <c r="D18" s="562">
        <f t="shared" si="2"/>
        <v>0</v>
      </c>
      <c r="E18" s="561">
        <f t="shared" si="3"/>
        <v>0</v>
      </c>
      <c r="F18" s="560"/>
    </row>
    <row r="19" spans="1:6" x14ac:dyDescent="0.35">
      <c r="A19" s="563">
        <v>8</v>
      </c>
      <c r="B19" s="562">
        <f t="shared" si="0"/>
        <v>0</v>
      </c>
      <c r="C19" s="562">
        <f t="shared" si="1"/>
        <v>0</v>
      </c>
      <c r="D19" s="562">
        <f t="shared" si="2"/>
        <v>0</v>
      </c>
      <c r="E19" s="561">
        <f t="shared" si="3"/>
        <v>0</v>
      </c>
      <c r="F19" s="560"/>
    </row>
    <row r="20" spans="1:6" x14ac:dyDescent="0.35">
      <c r="A20" s="563">
        <v>9</v>
      </c>
      <c r="B20" s="562">
        <f t="shared" si="0"/>
        <v>0</v>
      </c>
      <c r="C20" s="562">
        <f t="shared" si="1"/>
        <v>0</v>
      </c>
      <c r="D20" s="562">
        <f t="shared" si="2"/>
        <v>0</v>
      </c>
      <c r="E20" s="561">
        <f t="shared" si="3"/>
        <v>0</v>
      </c>
      <c r="F20" s="560"/>
    </row>
    <row r="21" spans="1:6" x14ac:dyDescent="0.35">
      <c r="A21" s="563">
        <v>10</v>
      </c>
      <c r="B21" s="562">
        <f t="shared" si="0"/>
        <v>0</v>
      </c>
      <c r="C21" s="562">
        <f t="shared" si="1"/>
        <v>0</v>
      </c>
      <c r="D21" s="562">
        <f t="shared" si="2"/>
        <v>0</v>
      </c>
      <c r="E21" s="561">
        <f t="shared" si="3"/>
        <v>0</v>
      </c>
      <c r="F21" s="560"/>
    </row>
    <row r="22" spans="1:6" x14ac:dyDescent="0.35">
      <c r="A22" s="563">
        <v>11</v>
      </c>
      <c r="B22" s="562">
        <f t="shared" si="0"/>
        <v>0</v>
      </c>
      <c r="C22" s="562">
        <f t="shared" si="1"/>
        <v>0</v>
      </c>
      <c r="D22" s="562">
        <f t="shared" si="2"/>
        <v>0</v>
      </c>
      <c r="E22" s="561">
        <f t="shared" si="3"/>
        <v>0</v>
      </c>
      <c r="F22" s="560"/>
    </row>
    <row r="23" spans="1:6" x14ac:dyDescent="0.35">
      <c r="A23" s="563">
        <v>12</v>
      </c>
      <c r="B23" s="562">
        <f t="shared" si="0"/>
        <v>0</v>
      </c>
      <c r="C23" s="562">
        <f t="shared" si="1"/>
        <v>0</v>
      </c>
      <c r="D23" s="562">
        <f t="shared" si="2"/>
        <v>0</v>
      </c>
      <c r="E23" s="561">
        <f t="shared" si="3"/>
        <v>0</v>
      </c>
      <c r="F23" s="560"/>
    </row>
    <row r="24" spans="1:6" x14ac:dyDescent="0.35">
      <c r="A24" s="563">
        <v>13</v>
      </c>
      <c r="B24" s="562">
        <f t="shared" si="0"/>
        <v>0</v>
      </c>
      <c r="C24" s="562">
        <f t="shared" si="1"/>
        <v>0</v>
      </c>
      <c r="D24" s="562">
        <f t="shared" si="2"/>
        <v>0</v>
      </c>
      <c r="E24" s="561">
        <f t="shared" si="3"/>
        <v>0</v>
      </c>
      <c r="F24" s="560"/>
    </row>
    <row r="25" spans="1:6" x14ac:dyDescent="0.35">
      <c r="A25" s="563">
        <v>14</v>
      </c>
      <c r="B25" s="562">
        <f t="shared" si="0"/>
        <v>0</v>
      </c>
      <c r="C25" s="562">
        <f t="shared" si="1"/>
        <v>0</v>
      </c>
      <c r="D25" s="562">
        <f t="shared" si="2"/>
        <v>0</v>
      </c>
      <c r="E25" s="561">
        <f t="shared" si="3"/>
        <v>0</v>
      </c>
      <c r="F25" s="560"/>
    </row>
    <row r="26" spans="1:6" ht="15" thickBot="1" x14ac:dyDescent="0.4">
      <c r="A26" s="559">
        <v>15</v>
      </c>
      <c r="B26" s="558">
        <f t="shared" si="0"/>
        <v>0</v>
      </c>
      <c r="C26" s="558">
        <f t="shared" si="1"/>
        <v>0</v>
      </c>
      <c r="D26" s="558">
        <f t="shared" si="2"/>
        <v>0</v>
      </c>
      <c r="E26" s="557">
        <f t="shared" si="3"/>
        <v>0</v>
      </c>
      <c r="F26" s="556"/>
    </row>
    <row r="27" spans="1:6" ht="15" thickTop="1" x14ac:dyDescent="0.35"/>
  </sheetData>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FE535-F982-427F-A45A-4146FED5DFBB}">
  <dimension ref="B2:J15"/>
  <sheetViews>
    <sheetView topLeftCell="A6" workbookViewId="0">
      <selection activeCell="F2" sqref="F2"/>
    </sheetView>
  </sheetViews>
  <sheetFormatPr baseColWidth="10" defaultColWidth="11.453125" defaultRowHeight="14.5" x14ac:dyDescent="0.35"/>
  <cols>
    <col min="2" max="2" width="5.54296875" customWidth="1"/>
  </cols>
  <sheetData>
    <row r="2" spans="2:10" x14ac:dyDescent="0.35">
      <c r="B2" s="374"/>
      <c r="C2" s="374"/>
      <c r="D2" s="374"/>
      <c r="E2" s="374"/>
      <c r="F2" s="374"/>
      <c r="G2" s="374"/>
      <c r="H2" s="374"/>
    </row>
    <row r="3" spans="2:10" x14ac:dyDescent="0.35">
      <c r="B3" s="374"/>
      <c r="C3" s="374"/>
      <c r="D3" s="374"/>
      <c r="E3" s="374"/>
      <c r="F3" s="374"/>
      <c r="G3" s="374"/>
      <c r="H3" s="374"/>
    </row>
    <row r="4" spans="2:10" x14ac:dyDescent="0.35">
      <c r="B4" s="374"/>
      <c r="C4" s="374"/>
      <c r="D4" s="374"/>
      <c r="E4" s="374"/>
      <c r="F4" s="374"/>
      <c r="G4" s="374"/>
      <c r="H4" s="374"/>
    </row>
    <row r="5" spans="2:10" x14ac:dyDescent="0.35">
      <c r="B5" s="374"/>
      <c r="C5" s="374"/>
      <c r="D5" s="374"/>
      <c r="E5" s="374"/>
      <c r="F5" s="374"/>
      <c r="G5" s="374"/>
      <c r="H5" s="374"/>
    </row>
    <row r="6" spans="2:10" x14ac:dyDescent="0.35">
      <c r="B6" s="374"/>
      <c r="C6" s="374"/>
      <c r="D6" s="374"/>
      <c r="E6" s="374"/>
      <c r="F6" s="374"/>
      <c r="G6" s="374"/>
      <c r="H6" s="374"/>
    </row>
    <row r="7" spans="2:10" x14ac:dyDescent="0.35">
      <c r="B7" s="374"/>
      <c r="C7" s="374"/>
      <c r="D7" s="374"/>
      <c r="E7" s="374"/>
      <c r="F7" s="374"/>
      <c r="G7" s="374"/>
      <c r="H7" s="374"/>
    </row>
    <row r="8" spans="2:10" x14ac:dyDescent="0.35">
      <c r="B8" s="374"/>
      <c r="C8" s="374"/>
      <c r="D8" s="374"/>
      <c r="E8" s="374"/>
      <c r="F8" s="374"/>
      <c r="G8" s="374"/>
      <c r="H8" s="374"/>
    </row>
    <row r="9" spans="2:10" x14ac:dyDescent="0.35">
      <c r="B9" s="374"/>
      <c r="C9" s="374"/>
      <c r="D9" s="374"/>
      <c r="E9" s="374"/>
      <c r="F9" s="374"/>
      <c r="G9" s="374"/>
      <c r="H9" s="374"/>
    </row>
    <row r="10" spans="2:10" ht="101.9" customHeight="1" x14ac:dyDescent="0.35">
      <c r="B10" s="374"/>
      <c r="C10" s="1835" t="str">
        <f>'Hipóteses --&gt;'!$C$11:$J$11</f>
        <v>Plan de Viabilidade Económico-Financeira para unha Iniciativa Enerxética Comunitaria con Autoconsumo Colectivo</v>
      </c>
      <c r="D10" s="1836"/>
      <c r="E10" s="1836"/>
      <c r="F10" s="1836"/>
      <c r="G10" s="1836"/>
      <c r="H10" s="1836"/>
      <c r="I10" s="1836"/>
      <c r="J10" s="1837"/>
    </row>
    <row r="11" spans="2:10" x14ac:dyDescent="0.35">
      <c r="B11" s="374"/>
      <c r="C11" s="374"/>
      <c r="D11" s="374"/>
      <c r="E11" s="374"/>
      <c r="F11" s="374"/>
      <c r="G11" s="374"/>
      <c r="H11" s="374"/>
    </row>
    <row r="12" spans="2:10" ht="18.5" x14ac:dyDescent="0.35">
      <c r="B12" s="374"/>
      <c r="C12" s="376"/>
      <c r="D12" s="374"/>
      <c r="E12" s="374"/>
      <c r="F12" s="374"/>
      <c r="G12" s="374"/>
      <c r="H12" s="374"/>
    </row>
    <row r="13" spans="2:10" x14ac:dyDescent="0.35">
      <c r="B13" s="374"/>
      <c r="C13" s="374"/>
      <c r="D13" s="374"/>
      <c r="E13" s="374"/>
      <c r="F13" s="374"/>
      <c r="G13" s="374"/>
      <c r="H13" s="374"/>
    </row>
    <row r="14" spans="2:10" x14ac:dyDescent="0.35">
      <c r="B14" s="374"/>
      <c r="C14" s="374"/>
      <c r="D14" s="374"/>
      <c r="E14" s="374"/>
      <c r="F14" s="374"/>
      <c r="G14" s="374"/>
      <c r="H14" s="374"/>
    </row>
    <row r="15" spans="2:10" ht="21" x14ac:dyDescent="0.35">
      <c r="B15" s="374"/>
      <c r="C15" s="375" t="s">
        <v>848</v>
      </c>
      <c r="D15" s="374"/>
      <c r="E15" s="374"/>
      <c r="F15" s="374"/>
      <c r="G15" s="374"/>
      <c r="H15" s="374"/>
    </row>
  </sheetData>
  <mergeCells count="1">
    <mergeCell ref="C10:J10"/>
  </mergeCells>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9147C-C54F-4E6E-85F8-B0A4103C13CF}">
  <dimension ref="A2:AF97"/>
  <sheetViews>
    <sheetView topLeftCell="A10" zoomScaleNormal="100" workbookViewId="0">
      <selection activeCell="F2" sqref="F2"/>
    </sheetView>
  </sheetViews>
  <sheetFormatPr baseColWidth="10" defaultColWidth="11.453125" defaultRowHeight="14.5" x14ac:dyDescent="0.35"/>
  <cols>
    <col min="1" max="1" width="14.453125" bestFit="1" customWidth="1"/>
    <col min="2" max="2" width="11.453125" customWidth="1"/>
    <col min="3" max="3" width="61.08984375" customWidth="1"/>
    <col min="4" max="5" width="13" bestFit="1" customWidth="1"/>
    <col min="6" max="7" width="14.453125" bestFit="1" customWidth="1"/>
    <col min="8" max="12" width="13" bestFit="1" customWidth="1"/>
    <col min="13" max="25" width="12.54296875" bestFit="1" customWidth="1"/>
    <col min="26" max="30" width="14.453125" bestFit="1" customWidth="1"/>
    <col min="31" max="31" width="23.453125" bestFit="1" customWidth="1"/>
    <col min="32" max="32" width="15.453125" bestFit="1" customWidth="1"/>
  </cols>
  <sheetData>
    <row r="2" spans="1:32" x14ac:dyDescent="0.35">
      <c r="C2" s="13" t="s">
        <v>919</v>
      </c>
    </row>
    <row r="3" spans="1:32" ht="15" thickBot="1" x14ac:dyDescent="0.4">
      <c r="B3" s="150"/>
    </row>
    <row r="4" spans="1:32" s="729" customFormat="1" ht="15" thickTop="1" x14ac:dyDescent="0.35">
      <c r="A4" s="713"/>
      <c r="B4" s="683"/>
      <c r="C4" s="686"/>
      <c r="D4" s="1845" t="s">
        <v>918</v>
      </c>
      <c r="E4" s="1845"/>
      <c r="F4" s="684">
        <v>1</v>
      </c>
      <c r="G4" s="684">
        <v>2</v>
      </c>
      <c r="H4" s="684">
        <v>3</v>
      </c>
      <c r="I4" s="684">
        <v>4</v>
      </c>
      <c r="J4" s="684">
        <v>5</v>
      </c>
      <c r="K4" s="684">
        <v>6</v>
      </c>
      <c r="L4" s="684">
        <v>7</v>
      </c>
      <c r="M4" s="684">
        <v>8</v>
      </c>
      <c r="N4" s="684">
        <v>9</v>
      </c>
      <c r="O4" s="684">
        <v>10</v>
      </c>
      <c r="P4" s="684">
        <v>11</v>
      </c>
      <c r="Q4" s="684">
        <v>12</v>
      </c>
      <c r="R4" s="684">
        <v>13</v>
      </c>
      <c r="S4" s="684">
        <v>14</v>
      </c>
      <c r="T4" s="684">
        <v>15</v>
      </c>
      <c r="U4" s="684">
        <v>16</v>
      </c>
      <c r="V4" s="684">
        <v>17</v>
      </c>
      <c r="W4" s="684">
        <v>18</v>
      </c>
      <c r="X4" s="684">
        <v>19</v>
      </c>
      <c r="Y4" s="684">
        <v>20</v>
      </c>
      <c r="Z4" s="684">
        <v>21</v>
      </c>
      <c r="AA4" s="684">
        <v>22</v>
      </c>
      <c r="AB4" s="684">
        <v>23</v>
      </c>
      <c r="AC4" s="684">
        <v>24</v>
      </c>
      <c r="AD4" s="684">
        <v>25</v>
      </c>
      <c r="AE4" s="683" t="s">
        <v>917</v>
      </c>
    </row>
    <row r="5" spans="1:32" s="729" customFormat="1" ht="29.5" thickBot="1" x14ac:dyDescent="0.4">
      <c r="B5" s="731" t="s">
        <v>916</v>
      </c>
      <c r="C5" s="730" t="s">
        <v>915</v>
      </c>
      <c r="D5" s="679" t="s">
        <v>914</v>
      </c>
      <c r="E5" s="679"/>
      <c r="F5" s="679">
        <v>2025</v>
      </c>
      <c r="G5" s="679">
        <v>2026</v>
      </c>
      <c r="H5" s="679">
        <v>2027</v>
      </c>
      <c r="I5" s="679">
        <v>2028</v>
      </c>
      <c r="J5" s="679">
        <v>2029</v>
      </c>
      <c r="K5" s="679">
        <v>2030</v>
      </c>
      <c r="L5" s="679">
        <v>2031</v>
      </c>
      <c r="M5" s="679">
        <v>2032</v>
      </c>
      <c r="N5" s="679">
        <v>2033</v>
      </c>
      <c r="O5" s="679">
        <v>2034</v>
      </c>
      <c r="P5" s="679">
        <v>2035</v>
      </c>
      <c r="Q5" s="679">
        <v>2036</v>
      </c>
      <c r="R5" s="679">
        <v>2037</v>
      </c>
      <c r="S5" s="679">
        <v>2038</v>
      </c>
      <c r="T5" s="679">
        <v>2039</v>
      </c>
      <c r="U5" s="679">
        <v>2040</v>
      </c>
      <c r="V5" s="679">
        <v>2041</v>
      </c>
      <c r="W5" s="679">
        <v>2042</v>
      </c>
      <c r="X5" s="679">
        <v>2043</v>
      </c>
      <c r="Y5" s="679">
        <v>2044</v>
      </c>
      <c r="Z5" s="679">
        <v>2045</v>
      </c>
      <c r="AA5" s="679">
        <v>2046</v>
      </c>
      <c r="AB5" s="679">
        <v>2047</v>
      </c>
      <c r="AC5" s="679">
        <v>2048</v>
      </c>
      <c r="AD5" s="679">
        <v>2049</v>
      </c>
      <c r="AE5" s="678" t="s">
        <v>906</v>
      </c>
    </row>
    <row r="6" spans="1:32" ht="15" thickTop="1" x14ac:dyDescent="0.35">
      <c r="A6" s="664"/>
      <c r="B6">
        <v>7050010</v>
      </c>
      <c r="C6" s="171" t="s">
        <v>913</v>
      </c>
      <c r="D6" s="150">
        <f>'Estim. Ingresos'!$D$26</f>
        <v>4466</v>
      </c>
      <c r="E6" s="150"/>
      <c r="F6" s="150">
        <f>D6</f>
        <v>4466</v>
      </c>
      <c r="G6" s="150">
        <f>F6*(1+'Hipóteses 2'!$G$7)*(1+'Hipóteses xerais (2)'!C47)</f>
        <v>4604.4459999999999</v>
      </c>
      <c r="H6" s="150">
        <f>G6*(1+'Hipóteses 2'!$G$7)*(1+'Hipóteses xerais (2)'!C47)</f>
        <v>4747.1838259999995</v>
      </c>
      <c r="I6" s="150">
        <f>H6*(1+'Hipóteses 2'!$G$7)*(1+'Hipóteses xerais (2)'!C47)</f>
        <v>4894.3465246059986</v>
      </c>
      <c r="J6" s="150">
        <f>I6*(1+'Hipóteses 2'!$G$7)*(1+'Hipóteses xerais (2)'!C47)</f>
        <v>5046.0712668687838</v>
      </c>
      <c r="K6" s="150">
        <f>J6*(1+'Hipóteses 2'!$G$8)*(1+'Hipóteses xerais (2)'!$C$47)</f>
        <v>5202.4994761417156</v>
      </c>
      <c r="L6" s="150">
        <f>K6*(1+'Hipóteses 2'!$G$8)*(1+'Hipóteses xerais (2)'!$C$47)</f>
        <v>5363.7769599021085</v>
      </c>
      <c r="M6" s="150">
        <f>L6*(1+'Hipóteses 2'!$G$8)*(1+'Hipóteses xerais (2)'!$C$47)</f>
        <v>5530.0540456590734</v>
      </c>
      <c r="N6" s="150">
        <f>M6*(1+'Hipóteses 2'!$G$8)*(1+'Hipóteses xerais (2)'!$C$47)</f>
        <v>5701.485721074504</v>
      </c>
      <c r="O6" s="150">
        <f>N6*(1+'Hipóteses 2'!$G$8)*(1+'Hipóteses xerais (2)'!$C$47)</f>
        <v>5878.231778427813</v>
      </c>
      <c r="P6" s="150">
        <f>O6*(1+'Hipóteses 2'!$G$8)*(1+'Hipóteses xerais (2)'!$C$47)</f>
        <v>6060.4569635590751</v>
      </c>
      <c r="Q6" s="150">
        <f>P6*(1+'Hipóteses 2'!$G$8)*(1+'Hipóteses xerais (2)'!$C$47)</f>
        <v>6248.3311294294062</v>
      </c>
      <c r="R6" s="150">
        <f>Q6*(1+'Hipóteses 2'!$G$8)*(1+'Hipóteses xerais (2)'!$C$47)</f>
        <v>6442.0293944417172</v>
      </c>
      <c r="S6" s="150">
        <f>R6*(1+'Hipóteses 2'!$G$8)*(1+'Hipóteses xerais (2)'!$C$47)</f>
        <v>6641.7323056694095</v>
      </c>
      <c r="T6" s="150">
        <f>S6*(1+'Hipóteses 2'!$G$8)*(1+'Hipóteses xerais (2)'!$C$47)</f>
        <v>6847.6260071451607</v>
      </c>
      <c r="U6" s="150">
        <f>T6*(1+'Hipóteses 2'!$G$8)*(1+'Hipóteses xerais (2)'!$C$47)</f>
        <v>7059.9024133666599</v>
      </c>
      <c r="V6" s="150">
        <f>U6*(1+'Hipóteses 2'!$G$8)*(1+'Hipóteses xerais (2)'!$C$47)</f>
        <v>7278.7593881810253</v>
      </c>
      <c r="W6" s="150">
        <f>V6*(1+'Hipóteses 2'!$G$8)*(1+'Hipóteses xerais (2)'!$C$47)</f>
        <v>7504.4009292146366</v>
      </c>
      <c r="X6" s="150">
        <f>W6*(1+'Hipóteses 2'!$G$8)*(1+'Hipóteses xerais (2)'!$C$47)</f>
        <v>7737.0373580202895</v>
      </c>
      <c r="Y6" s="150">
        <f>X6*(1+'Hipóteses 2'!$G$8)*(1+'Hipóteses xerais (2)'!$C$47)</f>
        <v>7976.8855161189176</v>
      </c>
      <c r="Z6" s="150">
        <f>Y6*(1+'Hipóteses 2'!$G$8)*(1+'Hipóteses xerais (2)'!$C$47)</f>
        <v>8224.1689671186032</v>
      </c>
      <c r="AA6" s="150">
        <f>Z6*(1+'Hipóteses 2'!$G$8)*(1+'Hipóteses xerais (2)'!$C$47)</f>
        <v>8479.1182050992793</v>
      </c>
      <c r="AB6" s="150">
        <f>AA6*(1+'Hipóteses 2'!$G$8)*(1+'Hipóteses xerais (2)'!$C$47)</f>
        <v>8741.9708694573565</v>
      </c>
      <c r="AC6" s="150">
        <f>AB6*(1+'Hipóteses 2'!$G$8)*(1+'Hipóteses xerais (2)'!$C$47)</f>
        <v>9012.9719664105342</v>
      </c>
      <c r="AD6" s="150">
        <f>AC6*(1+'Hipóteses 2'!$G$8)*(1+'Hipóteses xerais (2)'!$C$47)</f>
        <v>9292.3740973692602</v>
      </c>
      <c r="AE6" s="663">
        <f t="shared" ref="AE6:AE15" si="0">SUM(F6:AD6)</f>
        <v>164981.86110928131</v>
      </c>
    </row>
    <row r="7" spans="1:32" s="10" customFormat="1" ht="29" x14ac:dyDescent="0.35">
      <c r="A7" s="728"/>
      <c r="B7" s="10">
        <v>7050020</v>
      </c>
      <c r="C7" s="711" t="s">
        <v>912</v>
      </c>
      <c r="D7" s="626">
        <f>'Estim. Ingresos'!$D$27</f>
        <v>2233</v>
      </c>
      <c r="E7" s="626"/>
      <c r="F7" s="626">
        <f>D7</f>
        <v>2233</v>
      </c>
      <c r="G7" s="626">
        <f>F7*(1+'Hipóteses 2'!$H$7)*(1+'Hipóteses xerais (2)'!C47)</f>
        <v>2302.223</v>
      </c>
      <c r="H7" s="626">
        <f>G7*(1+'Hipóteses 2'!$H$7)*(1+'Hipóteses xerais (2)'!C47)</f>
        <v>2373.5919129999997</v>
      </c>
      <c r="I7" s="626">
        <f>H7*(1+'Hipóteses 2'!$H$7)*(1+'Hipóteses xerais (2)'!C47)</f>
        <v>2447.1732623029993</v>
      </c>
      <c r="J7" s="626">
        <f>I7*(1+'Hipóteses 2'!$H$7)*(1+'Hipóteses xerais (2)'!C47)</f>
        <v>2523.0356334343919</v>
      </c>
      <c r="K7" s="626">
        <f>J7*(1+'Hipóteses 2'!$H$8)*(1+'Hipóteses xerais (2)'!$C$47)</f>
        <v>2601.2497380708578</v>
      </c>
      <c r="L7" s="626">
        <f>K7*(1+'Hipóteses 2'!$H$8)*(1+'Hipóteses xerais (2)'!$C$47)</f>
        <v>2681.8884799510543</v>
      </c>
      <c r="M7" s="626">
        <f>L7*(1+'Hipóteses 2'!$H$8)*(1+'Hipóteses xerais (2)'!$C$47)</f>
        <v>2765.0270228295367</v>
      </c>
      <c r="N7" s="626">
        <f>M7*(1+'Hipóteses 2'!$H$8)*(1+'Hipóteses xerais (2)'!$C$47)</f>
        <v>2850.742860537252</v>
      </c>
      <c r="O7" s="626">
        <f>N7*(1+'Hipóteses 2'!$H$8)*(1+'Hipóteses xerais (2)'!$C$47)</f>
        <v>2939.1158892139065</v>
      </c>
      <c r="P7" s="626">
        <f>O7*(1+'Hipóteses 2'!$H$8)*(1+'Hipóteses xerais (2)'!$C$47)</f>
        <v>3030.2284817795376</v>
      </c>
      <c r="Q7" s="626">
        <f>P7*(1+'Hipóteses 2'!$H$8)*(1+'Hipóteses xerais (2)'!$C$47)</f>
        <v>3124.1655647147031</v>
      </c>
      <c r="R7" s="626">
        <f>Q7*(1+'Hipóteses 2'!$H$8)*(1+'Hipóteses xerais (2)'!$C$47)</f>
        <v>3221.0146972208586</v>
      </c>
      <c r="S7" s="626">
        <f>R7*(1+'Hipóteses 2'!$H$8)*(1+'Hipóteses xerais (2)'!$C$47)</f>
        <v>3320.8661528347047</v>
      </c>
      <c r="T7" s="626">
        <f>S7*(1+'Hipóteses 2'!$H$8)*(1+'Hipóteses xerais (2)'!$C$47)</f>
        <v>3423.8130035725803</v>
      </c>
      <c r="U7" s="626">
        <f>T7*(1+'Hipóteses 2'!$H$8)*(1+'Hipóteses xerais (2)'!$C$47)</f>
        <v>3529.9512066833299</v>
      </c>
      <c r="V7" s="626">
        <f>U7*(1+'Hipóteses 2'!$H$8)*(1+'Hipóteses xerais (2)'!$C$47)</f>
        <v>3639.3796940905127</v>
      </c>
      <c r="W7" s="626">
        <f>V7*(1+'Hipóteses 2'!$H$8)*(1+'Hipóteses xerais (2)'!$C$47)</f>
        <v>3752.2004646073183</v>
      </c>
      <c r="X7" s="626">
        <f>W7*(1+'Hipóteses 2'!$H$8)*(1+'Hipóteses xerais (2)'!$C$47)</f>
        <v>3868.5186790101448</v>
      </c>
      <c r="Y7" s="626">
        <f>X7*(1+'Hipóteses 2'!$H$8)*(1+'Hipóteses xerais (2)'!$C$47)</f>
        <v>3988.4427580594588</v>
      </c>
      <c r="Z7" s="626">
        <f>Y7*(1+'Hipóteses 2'!$H$8)*(1+'Hipóteses xerais (2)'!$C$47)</f>
        <v>4112.0844835593016</v>
      </c>
      <c r="AA7" s="626">
        <f>Z7*(1+'Hipóteses 2'!$H$8)*(1+'Hipóteses xerais (2)'!$C$47)</f>
        <v>4239.5591025496396</v>
      </c>
      <c r="AB7" s="626">
        <f>AA7*(1+'Hipóteses 2'!$H$8)*(1+'Hipóteses xerais (2)'!$C$47)</f>
        <v>4370.9854347286782</v>
      </c>
      <c r="AC7" s="626">
        <f>AB7*(1+'Hipóteses 2'!$H$8)*(1+'Hipóteses xerais (2)'!$C$47)</f>
        <v>4506.4859832052671</v>
      </c>
      <c r="AD7" s="626">
        <f>AC7*(1+'Hipóteses 2'!$H$8)*(1+'Hipóteses xerais (2)'!$C$47)</f>
        <v>4646.1870486846301</v>
      </c>
      <c r="AE7" s="710">
        <f t="shared" si="0"/>
        <v>82490.930554640654</v>
      </c>
    </row>
    <row r="8" spans="1:32" s="10" customFormat="1" x14ac:dyDescent="0.35">
      <c r="A8" s="728"/>
      <c r="B8" s="10">
        <v>7050030</v>
      </c>
      <c r="C8" s="711" t="s">
        <v>911</v>
      </c>
      <c r="D8" s="626">
        <f>'Estim. Ingresos'!$D$28</f>
        <v>0</v>
      </c>
      <c r="E8" s="626"/>
      <c r="F8" s="626">
        <f>D8</f>
        <v>0</v>
      </c>
      <c r="G8" s="626">
        <f>F8*(1+'Hipóteses 2'!$H$7)*(1+'Hipóteses xerais (2)'!$C$47)</f>
        <v>0</v>
      </c>
      <c r="H8" s="626">
        <f>G8*(1+'Hipóteses 2'!$H$7)*(1+'Hipóteses xerais (2)'!$C$47)</f>
        <v>0</v>
      </c>
      <c r="I8" s="626">
        <f>H8*(1+'Hipóteses 2'!$H$7)*(1+'Hipóteses xerais (2)'!$C$47)</f>
        <v>0</v>
      </c>
      <c r="J8" s="626">
        <f>I8*(1+'Hipóteses 2'!$H$7)*(1+'Hipóteses xerais (2)'!$C$47)</f>
        <v>0</v>
      </c>
      <c r="K8" s="626">
        <f>J8*(1+'Hipóteses 2'!$H$7)*(1+'Hipóteses xerais (2)'!$C$47)</f>
        <v>0</v>
      </c>
      <c r="L8" s="626">
        <f>K8*(1+'Hipóteses 2'!$H$7)*(1+'Hipóteses xerais (2)'!$C$47)</f>
        <v>0</v>
      </c>
      <c r="M8" s="626">
        <f>L8*(1+'Hipóteses 2'!$H$7)*(1+'Hipóteses xerais (2)'!$C$47)</f>
        <v>0</v>
      </c>
      <c r="N8" s="626">
        <f>M8*(1+'Hipóteses 2'!$H$7)*(1+'Hipóteses xerais (2)'!$C$47)</f>
        <v>0</v>
      </c>
      <c r="O8" s="626">
        <f>N8*(1+'Hipóteses 2'!$H$7)*(1+'Hipóteses xerais (2)'!$C$47)</f>
        <v>0</v>
      </c>
      <c r="P8" s="626">
        <f>O8*(1+'Hipóteses 2'!$H$7)*(1+'Hipóteses xerais (2)'!$C$47)</f>
        <v>0</v>
      </c>
      <c r="Q8" s="626">
        <f>P8*(1+'Hipóteses 2'!$H$7)*(1+'Hipóteses xerais (2)'!$C$47)</f>
        <v>0</v>
      </c>
      <c r="R8" s="626">
        <f>Q8*(1+'Hipóteses 2'!$H$7)*(1+'Hipóteses xerais (2)'!$C$47)</f>
        <v>0</v>
      </c>
      <c r="S8" s="626">
        <f>R8*(1+'Hipóteses 2'!$H$7)*(1+'Hipóteses xerais (2)'!$C$47)</f>
        <v>0</v>
      </c>
      <c r="T8" s="626">
        <f>S8*(1+'Hipóteses 2'!$H$7)*(1+'Hipóteses xerais (2)'!$C$47)</f>
        <v>0</v>
      </c>
      <c r="U8" s="626">
        <f>T8*(1+'Hipóteses 2'!$H$7)*(1+'Hipóteses xerais (2)'!$C$47)</f>
        <v>0</v>
      </c>
      <c r="V8" s="626">
        <f>U8*(1+'Hipóteses 2'!$H$7)*(1+'Hipóteses xerais (2)'!$C$47)</f>
        <v>0</v>
      </c>
      <c r="W8" s="626">
        <f>V8*(1+'Hipóteses 2'!$H$7)*(1+'Hipóteses xerais (2)'!$C$47)</f>
        <v>0</v>
      </c>
      <c r="X8" s="626">
        <f>W8*(1+'Hipóteses 2'!$H$7)*(1+'Hipóteses xerais (2)'!$C$47)</f>
        <v>0</v>
      </c>
      <c r="Y8" s="626">
        <f>X8*(1+'Hipóteses 2'!$H$7)*(1+'Hipóteses xerais (2)'!$C$47)</f>
        <v>0</v>
      </c>
      <c r="Z8" s="626">
        <f>Y8*(1+'Hipóteses 2'!$H$7)*(1+'Hipóteses xerais (2)'!$C$47)</f>
        <v>0</v>
      </c>
      <c r="AA8" s="626">
        <f>Z8*(1+'Hipóteses 2'!$H$7)*(1+'Hipóteses xerais (2)'!$C$47)</f>
        <v>0</v>
      </c>
      <c r="AB8" s="626">
        <f>AA8*(1+'Hipóteses 2'!$H$7)*(1+'Hipóteses xerais (2)'!$C$47)</f>
        <v>0</v>
      </c>
      <c r="AC8" s="626">
        <f>AB8*(1+'Hipóteses 2'!$H$7)*(1+'Hipóteses xerais (2)'!$C$47)</f>
        <v>0</v>
      </c>
      <c r="AD8" s="626">
        <f>AC8*(1+'Hipóteses 2'!$H$7)*(1+'Hipóteses xerais (2)'!$C$47)</f>
        <v>0</v>
      </c>
      <c r="AE8" s="710">
        <f t="shared" si="0"/>
        <v>0</v>
      </c>
    </row>
    <row r="9" spans="1:32" s="63" customFormat="1" x14ac:dyDescent="0.35">
      <c r="C9" s="727" t="s">
        <v>910</v>
      </c>
      <c r="D9" s="58">
        <f>SUM(D6:D8)</f>
        <v>6699</v>
      </c>
      <c r="E9" s="58"/>
      <c r="F9" s="58">
        <f>SUM(F6:F8)</f>
        <v>6699</v>
      </c>
      <c r="G9" s="58">
        <f>F9*(1+'Hipóteses xerais (2)'!$C$31)</f>
        <v>6906.6689999999999</v>
      </c>
      <c r="H9" s="58">
        <f>G9*(1+'Hipóteses xerais (2)'!$C$31)</f>
        <v>7120.7757389999997</v>
      </c>
      <c r="I9" s="58">
        <f>H9*(1+'Hipóteses xerais (2)'!$C$31)</f>
        <v>7341.5197869089989</v>
      </c>
      <c r="J9" s="58">
        <f>I9*(1+'Hipóteses xerais (2)'!$C$31)</f>
        <v>7569.1069003031771</v>
      </c>
      <c r="K9" s="58">
        <f>J9*(1+'Hipóteses xerais (2)'!$C$31)</f>
        <v>7803.7492142125748</v>
      </c>
      <c r="L9" s="58">
        <f>K9*(1+'Hipóteses xerais (2)'!$C$31)</f>
        <v>8045.6654398531637</v>
      </c>
      <c r="M9" s="58">
        <f>L9*(1+'Hipóteses xerais (2)'!$C$31)</f>
        <v>8295.081068488611</v>
      </c>
      <c r="N9" s="58">
        <f>M9*(1+'Hipóteses xerais (2)'!$C$31)</f>
        <v>8552.2285816117565</v>
      </c>
      <c r="O9" s="58">
        <f>N9*(1+'Hipóteses xerais (2)'!$C$31)</f>
        <v>8817.3476676417195</v>
      </c>
      <c r="P9" s="58">
        <f>O9*(1+'Hipóteses xerais (2)'!$C$31)</f>
        <v>9090.6854453386113</v>
      </c>
      <c r="Q9" s="58">
        <f>P9*(1+'Hipóteses xerais (2)'!$C$31)</f>
        <v>9372.4966941441071</v>
      </c>
      <c r="R9" s="58">
        <f>Q9*(1+'Hipóteses xerais (2)'!$C$31)</f>
        <v>9663.0440916625739</v>
      </c>
      <c r="S9" s="58">
        <f>R9*(1+'Hipóteses xerais (2)'!$C$31)</f>
        <v>9962.5984585041133</v>
      </c>
      <c r="T9" s="58">
        <f>S9*(1+'Hipóteses xerais (2)'!$C$31)</f>
        <v>10271.439010717741</v>
      </c>
      <c r="U9" s="58">
        <f>T9*(1+'Hipóteses xerais (2)'!$C$31)</f>
        <v>10589.853620049989</v>
      </c>
      <c r="V9" s="58">
        <f>U9*(1+'Hipóteses xerais (2)'!$C$31)</f>
        <v>10918.139082271538</v>
      </c>
      <c r="W9" s="58">
        <f>V9*(1+'Hipóteses xerais (2)'!$C$31)</f>
        <v>11256.601393821955</v>
      </c>
      <c r="X9" s="58">
        <f>W9*(1+'Hipóteses xerais (2)'!$C$31)</f>
        <v>11605.556037030434</v>
      </c>
      <c r="Y9" s="58">
        <f>X9*(1+'Hipóteses xerais (2)'!$C$31)</f>
        <v>11965.328274178377</v>
      </c>
      <c r="Z9" s="58">
        <f>Y9*(1+'Hipóteses xerais (2)'!$C$31)</f>
        <v>12336.253450677905</v>
      </c>
      <c r="AA9" s="58">
        <f>Z9*(1+'Hipóteses xerais (2)'!$C$31)</f>
        <v>12718.677307648919</v>
      </c>
      <c r="AB9" s="58">
        <f>AA9*(1+'Hipóteses xerais (2)'!$C$31)</f>
        <v>13112.956304186035</v>
      </c>
      <c r="AC9" s="58">
        <f>AB9*(1+'Hipóteses xerais (2)'!$C$31)</f>
        <v>13519.4579496158</v>
      </c>
      <c r="AD9" s="58">
        <f>AC9*(1+'Hipóteses xerais (2)'!$C$31)</f>
        <v>13938.561146053889</v>
      </c>
      <c r="AE9" s="726">
        <f t="shared" si="0"/>
        <v>247472.79166392199</v>
      </c>
    </row>
    <row r="10" spans="1:32" s="63" customFormat="1" x14ac:dyDescent="0.35">
      <c r="B10">
        <v>7050040</v>
      </c>
      <c r="C10" s="725" t="str">
        <f>'Estim. Ingresos'!$A34</f>
        <v>Cota Extra Inicial (Só Primeiro Ano)</v>
      </c>
      <c r="D10" s="150">
        <f>'Estim. Ingresos'!$D34</f>
        <v>0</v>
      </c>
      <c r="E10" s="150"/>
      <c r="F10" s="150">
        <f>D10</f>
        <v>0</v>
      </c>
      <c r="G10" s="150">
        <v>0</v>
      </c>
      <c r="H10" s="150">
        <v>0</v>
      </c>
      <c r="I10" s="150">
        <v>0</v>
      </c>
      <c r="J10" s="150">
        <v>0</v>
      </c>
      <c r="K10" s="150">
        <v>0</v>
      </c>
      <c r="L10" s="150">
        <v>0</v>
      </c>
      <c r="M10" s="150">
        <v>0</v>
      </c>
      <c r="N10" s="150">
        <v>0</v>
      </c>
      <c r="O10" s="150">
        <v>0</v>
      </c>
      <c r="P10" s="150">
        <v>0</v>
      </c>
      <c r="Q10" s="150">
        <v>0</v>
      </c>
      <c r="R10" s="150">
        <v>0</v>
      </c>
      <c r="S10" s="150">
        <v>0</v>
      </c>
      <c r="T10" s="150">
        <v>0</v>
      </c>
      <c r="U10" s="150">
        <v>0</v>
      </c>
      <c r="V10" s="150">
        <v>0</v>
      </c>
      <c r="W10" s="150">
        <v>0</v>
      </c>
      <c r="X10" s="150">
        <v>0</v>
      </c>
      <c r="Y10" s="150">
        <v>0</v>
      </c>
      <c r="Z10" s="150">
        <v>0</v>
      </c>
      <c r="AA10" s="150">
        <v>0</v>
      </c>
      <c r="AB10" s="150">
        <v>0</v>
      </c>
      <c r="AC10" s="150">
        <v>0</v>
      </c>
      <c r="AD10" s="150">
        <v>0</v>
      </c>
      <c r="AE10" s="726">
        <f t="shared" si="0"/>
        <v>0</v>
      </c>
    </row>
    <row r="11" spans="1:32" s="63" customFormat="1" x14ac:dyDescent="0.35">
      <c r="B11">
        <v>7050041</v>
      </c>
      <c r="C11" s="725" t="str">
        <f>'Estim. Ingresos'!$A35</f>
        <v>Cotas de Socios</v>
      </c>
      <c r="D11" s="150">
        <f>'Estim. Ingresos'!$D35</f>
        <v>2470.4699999999998</v>
      </c>
      <c r="E11" s="150"/>
      <c r="F11" s="150">
        <f>D11</f>
        <v>2470.4699999999998</v>
      </c>
      <c r="G11" s="150">
        <f>IF('Hipóteses xerais (2)'!$C$96="Si",('Conta explotación'!G$93*12*'Hipóteses xerais (2)'!$F$39),('Conta explotación'!G$76*12*'Hipóteses xerais (2)'!$F$39))</f>
        <v>2460</v>
      </c>
      <c r="H11" s="150">
        <f>IF('Hipóteses xerais (2)'!$C$96="Si",('Conta explotación'!H$93*12*'Hipóteses xerais (2)'!$F$39),('Conta explotación'!H$76*12*'Hipóteses xerais (2)'!$F$39))</f>
        <v>2574.5599999999995</v>
      </c>
      <c r="I11" s="150">
        <f>IF('Hipóteses xerais (2)'!$C$96="Si",('Conta explotación'!I$93*12*'Hipóteses xerais (2)'!$F$39),('Conta explotación'!I$76*12*'Hipóteses xerais (2)'!$F$39))</f>
        <v>2692.7859200000003</v>
      </c>
      <c r="J11" s="150">
        <f>IF('Hipóteses xerais (2)'!$C$96="Si",('Conta explotación'!J$93*12*'Hipóteses xerais (2)'!$F$39),('Conta explotación'!J$76*12*'Hipóteses xerais (2)'!$F$39))</f>
        <v>2814.7950694400001</v>
      </c>
      <c r="K11" s="150">
        <f>IF('Hipóteses xerais (2)'!$C$96="Si",('Conta explotación'!K$93*12*'Hipóteses xerais (2)'!$F$39),('Conta explotación'!K$76*12*'Hipóteses xerais (2)'!$F$39))</f>
        <v>2940.7085116620801</v>
      </c>
      <c r="L11" s="150">
        <f>IF('Hipóteses xerais (2)'!$C$96="Si",('Conta explotación'!L$93*12*'Hipóteses xerais (2)'!$F$39),('Conta explotación'!L$76*12*'Hipóteses xerais (2)'!$F$39))</f>
        <v>3070.6511840352669</v>
      </c>
      <c r="M11" s="150">
        <f>IF('Hipóteses xerais (2)'!$C$96="Si",('Conta explotación'!M$93*12*'Hipóteses xerais (2)'!$F$39),('Conta explotación'!M$76*12*'Hipóteses xerais (2)'!$F$39))</f>
        <v>3204.7520219243952</v>
      </c>
      <c r="N11" s="150">
        <f>IF('Hipóteses xerais (2)'!$C$96="Si",('Conta explotación'!N$93*12*'Hipóteses xerais (2)'!$F$39),('Conta explotación'!N$76*12*'Hipóteses xerais (2)'!$F$39))</f>
        <v>3343.1440866259768</v>
      </c>
      <c r="O11" s="150">
        <f>IF('Hipóteses xerais (2)'!$C$96="Si",('Conta explotación'!O$93*12*'Hipóteses xerais (2)'!$F$39),('Conta explotación'!O$76*12*'Hipóteses xerais (2)'!$F$39))</f>
        <v>3485.9646973980075</v>
      </c>
      <c r="P11" s="150">
        <f>IF('Hipóteses xerais (2)'!$C$96="Si",('Conta explotación'!P$93*12*'Hipóteses xerais (2)'!$F$39),('Conta explotación'!P$76*12*'Hipóteses xerais (2)'!$F$39))</f>
        <v>3633.3555677147442</v>
      </c>
      <c r="Q11" s="150">
        <f>IF('Hipóteses xerais (2)'!$C$96="Si",('Conta explotación'!Q$93*12*'Hipóteses xerais (2)'!$F$39),('Conta explotación'!Q$76*12*'Hipóteses xerais (2)'!$F$39))</f>
        <v>3785.4629458816171</v>
      </c>
      <c r="R11" s="150">
        <f>IF('Hipóteses xerais (2)'!$C$96="Si",('Conta explotación'!R$93*12*'Hipóteses xerais (2)'!$F$39),('Conta explotación'!R$76*12*'Hipóteses xerais (2)'!$F$39))</f>
        <v>3942.4377601498277</v>
      </c>
      <c r="S11" s="150">
        <f>IF('Hipóteses xerais (2)'!$C$96="Si",('Conta explotación'!S$93*12*'Hipóteses xerais (2)'!$F$39),('Conta explotación'!S$76*12*'Hipóteses xerais (2)'!$F$39))</f>
        <v>4104.4357684746237</v>
      </c>
      <c r="T11" s="150">
        <f>IF('Hipóteses xerais (2)'!$C$96="Si",('Conta explotación'!T$93*12*'Hipóteses xerais (2)'!$F$39),('Conta explotación'!T$76*12*'Hipóteses xerais (2)'!$F$39))</f>
        <v>4271.6177130658116</v>
      </c>
      <c r="U11" s="150">
        <f>IF('Hipóteses xerais (2)'!$C$96="Si",('Conta explotación'!U$93*12*'Hipóteses xerais (2)'!$F$39),('Conta explotación'!U$76*12*'Hipóteses xerais (2)'!$F$39))</f>
        <v>4444.1494798839176</v>
      </c>
      <c r="V11" s="150">
        <f>IF('Hipóteses xerais (2)'!$C$96="Si",('Conta explotación'!V$93*12*'Hipóteses xerais (2)'!$F$39),('Conta explotación'!V$76*12*'Hipóteses xerais (2)'!$F$39))</f>
        <v>4622.2022632402031</v>
      </c>
      <c r="W11" s="150">
        <f>IF('Hipóteses xerais (2)'!$C$96="Si",('Conta explotación'!W$93*12*'Hipóteses xerais (2)'!$F$39),('Conta explotación'!W$76*12*'Hipóteses xerais (2)'!$F$39))</f>
        <v>4805.9527356638891</v>
      </c>
      <c r="X11" s="150">
        <f>IF('Hipóteses xerais (2)'!$C$96="Si",('Conta explotación'!X$93*12*'Hipóteses xerais (2)'!$F$39),('Conta explotación'!X$76*12*'Hipóteses xerais (2)'!$F$39))</f>
        <v>4995.5832232051353</v>
      </c>
      <c r="Y11" s="150">
        <f>IF('Hipóteses xerais (2)'!$C$96="Si",('Conta explotación'!Y$93*12*'Hipóteses xerais (2)'!$F$39),('Conta explotación'!Y$76*12*'Hipóteses xerais (2)'!$F$39))</f>
        <v>5191.2818863476987</v>
      </c>
      <c r="Z11" s="150">
        <f>IF('Hipóteses xerais (2)'!$C$96="Si",('Conta explotación'!Z$93*12*'Hipóteses xerais (2)'!$F$39),('Conta explotación'!Z$76*12*'Hipóteses xerais (2)'!$F$39))</f>
        <v>5393.242906710826</v>
      </c>
      <c r="AA11" s="150">
        <f>IF('Hipóteses xerais (2)'!$C$96="Si",('Conta explotación'!AA$93*12*'Hipóteses xerais (2)'!$F$39),('Conta explotación'!AA$76*12*'Hipóteses xerais (2)'!$F$39))</f>
        <v>5601.6666797255721</v>
      </c>
      <c r="AB11" s="150">
        <f>IF('Hipóteses xerais (2)'!$C$96="Si",('Conta explotación'!AB$93*12*'Hipóteses xerais (2)'!$F$39),('Conta explotación'!AB$76*12*'Hipóteses xerais (2)'!$F$39))</f>
        <v>5816.7600134767908</v>
      </c>
      <c r="AC11" s="150">
        <f>IF('Hipóteses xerais (2)'!$C$96="Si",('Conta explotación'!AC$93*12*'Hipóteses xerais (2)'!$F$39),('Conta explotación'!AC$76*12*'Hipóteses xerais (2)'!$F$39))</f>
        <v>6038.7363339080466</v>
      </c>
      <c r="AD11" s="150">
        <f>IF('Hipóteses xerais (2)'!$C$96="Si",('Conta explotación'!AD$93*12*'Hipóteses xerais (2)'!$F$39),('Conta explotación'!AD$76*12*'Hipóteses xerais (2)'!$F$39))</f>
        <v>6267.8158965931061</v>
      </c>
      <c r="AE11" s="653">
        <f t="shared" si="0"/>
        <v>101972.53266512754</v>
      </c>
    </row>
    <row r="12" spans="1:32" s="63" customFormat="1" x14ac:dyDescent="0.35">
      <c r="B12">
        <v>7050050</v>
      </c>
      <c r="C12" s="725" t="str">
        <f>'Estim. Ingresos'!$A36</f>
        <v>Ingresos por Prestación Doutros Servizos Complementarios aos Socios</v>
      </c>
      <c r="D12" s="626">
        <f>'Estim. Ingresos'!$D36</f>
        <v>0</v>
      </c>
      <c r="E12" s="626"/>
      <c r="F12" s="626">
        <f>D12</f>
        <v>0</v>
      </c>
      <c r="G12" s="626">
        <f>F12*(1+'Hipóteses 2'!$H$7)*(1+'Hipóteses xerais (2)'!$C$47)</f>
        <v>0</v>
      </c>
      <c r="H12" s="626">
        <f>G12*(1+'Hipóteses 2'!$H$7)*(1+'Hipóteses xerais (2)'!$C$47)</f>
        <v>0</v>
      </c>
      <c r="I12" s="626">
        <f>H12*(1+'Hipóteses 2'!$H$7)*(1+'Hipóteses xerais (2)'!$C$47)</f>
        <v>0</v>
      </c>
      <c r="J12" s="626">
        <f>I12*(1+'Hipóteses 2'!$H$7)*(1+'Hipóteses xerais (2)'!$C$47)</f>
        <v>0</v>
      </c>
      <c r="K12" s="626">
        <f>J12*(1+'Hipóteses 2'!$H$7)*(1+'Hipóteses xerais (2)'!$C$47)</f>
        <v>0</v>
      </c>
      <c r="L12" s="626">
        <f>K12*(1+'Hipóteses 2'!$H$7)*(1+'Hipóteses xerais (2)'!$C$47)</f>
        <v>0</v>
      </c>
      <c r="M12" s="626">
        <f>L12*(1+'Hipóteses 2'!$H$7)*(1+'Hipóteses xerais (2)'!$C$47)</f>
        <v>0</v>
      </c>
      <c r="N12" s="626">
        <f>M12*(1+'Hipóteses 2'!$H$7)*(1+'Hipóteses xerais (2)'!$C$47)</f>
        <v>0</v>
      </c>
      <c r="O12" s="626">
        <f>N12*(1+'Hipóteses 2'!$H$7)*(1+'Hipóteses xerais (2)'!$C$47)</f>
        <v>0</v>
      </c>
      <c r="P12" s="626">
        <f>O12*(1+'Hipóteses 2'!$H$7)*(1+'Hipóteses xerais (2)'!$C$47)</f>
        <v>0</v>
      </c>
      <c r="Q12" s="626">
        <f>P12*(1+'Hipóteses 2'!$H$7)*(1+'Hipóteses xerais (2)'!$C$47)</f>
        <v>0</v>
      </c>
      <c r="R12" s="626">
        <f>Q12*(1+'Hipóteses 2'!$H$7)*(1+'Hipóteses xerais (2)'!$C$47)</f>
        <v>0</v>
      </c>
      <c r="S12" s="626">
        <f>R12*(1+'Hipóteses 2'!$H$7)*(1+'Hipóteses xerais (2)'!$C$47)</f>
        <v>0</v>
      </c>
      <c r="T12" s="626">
        <f>S12*(1+'Hipóteses 2'!$H$7)*(1+'Hipóteses xerais (2)'!$C$47)</f>
        <v>0</v>
      </c>
      <c r="U12" s="626">
        <f>T12*(1+'Hipóteses 2'!$H$7)*(1+'Hipóteses xerais (2)'!$C$47)</f>
        <v>0</v>
      </c>
      <c r="V12" s="626">
        <f>U12*(1+'Hipóteses 2'!$H$7)*(1+'Hipóteses xerais (2)'!$C$47)</f>
        <v>0</v>
      </c>
      <c r="W12" s="626">
        <f>V12*(1+'Hipóteses 2'!$H$7)*(1+'Hipóteses xerais (2)'!$C$47)</f>
        <v>0</v>
      </c>
      <c r="X12" s="626">
        <f>W12*(1+'Hipóteses 2'!$H$7)*(1+'Hipóteses xerais (2)'!$C$47)</f>
        <v>0</v>
      </c>
      <c r="Y12" s="626">
        <f>X12*(1+'Hipóteses 2'!$H$7)*(1+'Hipóteses xerais (2)'!$C$47)</f>
        <v>0</v>
      </c>
      <c r="Z12" s="626">
        <f>Y12*(1+'Hipóteses 2'!$H$7)*(1+'Hipóteses xerais (2)'!$C$47)</f>
        <v>0</v>
      </c>
      <c r="AA12" s="626">
        <f>Z12*(1+'Hipóteses 2'!$H$7)*(1+'Hipóteses xerais (2)'!$C$47)</f>
        <v>0</v>
      </c>
      <c r="AB12" s="626">
        <f>AA12*(1+'Hipóteses 2'!$H$7)*(1+'Hipóteses xerais (2)'!$C$47)</f>
        <v>0</v>
      </c>
      <c r="AC12" s="626">
        <f>AB12*(1+'Hipóteses 2'!$H$7)*(1+'Hipóteses xerais (2)'!$C$47)</f>
        <v>0</v>
      </c>
      <c r="AD12" s="626">
        <f>AC12*(1+'Hipóteses 2'!$H$7)*(1+'Hipóteses xerais (2)'!$C$47)</f>
        <v>0</v>
      </c>
      <c r="AE12" s="722">
        <f t="shared" si="0"/>
        <v>0</v>
      </c>
    </row>
    <row r="13" spans="1:32" s="177" customFormat="1" x14ac:dyDescent="0.35">
      <c r="A13" s="724"/>
      <c r="C13" s="723" t="str">
        <f>'Estim. Ingresos'!$A37</f>
        <v>Total Ingresos por Cotas de Socios e Outros Servizos Complementarios</v>
      </c>
      <c r="D13" s="178">
        <f t="shared" ref="D13:AD13" si="1">SUM(D10:D12)</f>
        <v>2470.4699999999998</v>
      </c>
      <c r="E13" s="178">
        <f t="shared" si="1"/>
        <v>0</v>
      </c>
      <c r="F13" s="178">
        <f t="shared" si="1"/>
        <v>2470.4699999999998</v>
      </c>
      <c r="G13" s="178">
        <f t="shared" si="1"/>
        <v>2460</v>
      </c>
      <c r="H13" s="178">
        <f t="shared" si="1"/>
        <v>2574.5599999999995</v>
      </c>
      <c r="I13" s="178">
        <f t="shared" si="1"/>
        <v>2692.7859200000003</v>
      </c>
      <c r="J13" s="178">
        <f t="shared" si="1"/>
        <v>2814.7950694400001</v>
      </c>
      <c r="K13" s="178">
        <f t="shared" si="1"/>
        <v>2940.7085116620801</v>
      </c>
      <c r="L13" s="178">
        <f t="shared" si="1"/>
        <v>3070.6511840352669</v>
      </c>
      <c r="M13" s="178">
        <f t="shared" si="1"/>
        <v>3204.7520219243952</v>
      </c>
      <c r="N13" s="178">
        <f t="shared" si="1"/>
        <v>3343.1440866259768</v>
      </c>
      <c r="O13" s="178">
        <f t="shared" si="1"/>
        <v>3485.9646973980075</v>
      </c>
      <c r="P13" s="178">
        <f t="shared" si="1"/>
        <v>3633.3555677147442</v>
      </c>
      <c r="Q13" s="178">
        <f t="shared" si="1"/>
        <v>3785.4629458816171</v>
      </c>
      <c r="R13" s="178">
        <f t="shared" si="1"/>
        <v>3942.4377601498277</v>
      </c>
      <c r="S13" s="178">
        <f t="shared" si="1"/>
        <v>4104.4357684746237</v>
      </c>
      <c r="T13" s="178">
        <f t="shared" si="1"/>
        <v>4271.6177130658116</v>
      </c>
      <c r="U13" s="178">
        <f t="shared" si="1"/>
        <v>4444.1494798839176</v>
      </c>
      <c r="V13" s="178">
        <f t="shared" si="1"/>
        <v>4622.2022632402031</v>
      </c>
      <c r="W13" s="178">
        <f t="shared" si="1"/>
        <v>4805.9527356638891</v>
      </c>
      <c r="X13" s="178">
        <f t="shared" si="1"/>
        <v>4995.5832232051353</v>
      </c>
      <c r="Y13" s="178">
        <f t="shared" si="1"/>
        <v>5191.2818863476987</v>
      </c>
      <c r="Z13" s="178">
        <f t="shared" si="1"/>
        <v>5393.242906710826</v>
      </c>
      <c r="AA13" s="178">
        <f t="shared" si="1"/>
        <v>5601.6666797255721</v>
      </c>
      <c r="AB13" s="178">
        <f t="shared" si="1"/>
        <v>5816.7600134767908</v>
      </c>
      <c r="AC13" s="178">
        <f t="shared" si="1"/>
        <v>6038.7363339080466</v>
      </c>
      <c r="AD13" s="178">
        <f t="shared" si="1"/>
        <v>6267.8158965931061</v>
      </c>
      <c r="AE13" s="722">
        <f t="shared" si="0"/>
        <v>101972.53266512754</v>
      </c>
      <c r="AF13" s="178"/>
    </row>
    <row r="14" spans="1:32" s="10" customFormat="1" ht="29" x14ac:dyDescent="0.35">
      <c r="A14" s="721"/>
      <c r="B14" s="10">
        <v>746</v>
      </c>
      <c r="C14" s="711" t="s">
        <v>909</v>
      </c>
      <c r="D14" s="626">
        <f>IF('Hipóteses xerais (2)'!$E$64="Si",'Hipóteses xerais (2)'!$C$65,0)</f>
        <v>1680</v>
      </c>
      <c r="E14" s="626"/>
      <c r="F14" s="626">
        <f>IF('Hipóteses xerais (2)'!$E$64="Si",'Hipóteses xerais (2)'!$C$65,0)</f>
        <v>1680</v>
      </c>
      <c r="G14" s="626">
        <f>IF('Hipóteses xerais (2)'!$E$64="Si",'Hipóteses xerais (2)'!$C$65,0)</f>
        <v>1680</v>
      </c>
      <c r="H14" s="626">
        <f>IF('Hipóteses xerais (2)'!$E$64="Si",'Hipóteses xerais (2)'!$C$65,0)</f>
        <v>1680</v>
      </c>
      <c r="I14" s="626">
        <f>IF('Hipóteses xerais (2)'!$E$64="Si",'Hipóteses xerais (2)'!$C$65,0)</f>
        <v>1680</v>
      </c>
      <c r="J14" s="626">
        <f>IF('Hipóteses xerais (2)'!$E$64="Si",'Hipóteses xerais (2)'!$C$65,0)</f>
        <v>1680</v>
      </c>
      <c r="K14" s="626">
        <f>IF('Hipóteses xerais (2)'!$E$64="Si",'Hipóteses xerais (2)'!$C$65,0)</f>
        <v>1680</v>
      </c>
      <c r="L14" s="626">
        <f>IF('Hipóteses xerais (2)'!$E$64="Si",'Hipóteses xerais (2)'!$C$65,0)</f>
        <v>1680</v>
      </c>
      <c r="M14" s="626">
        <f>IF('Hipóteses xerais (2)'!$E$64="Si",'Hipóteses xerais (2)'!$C$65,0)</f>
        <v>1680</v>
      </c>
      <c r="N14" s="626">
        <f>IF('Hipóteses xerais (2)'!$E$64="Si",'Hipóteses xerais (2)'!$C$65,0)</f>
        <v>1680</v>
      </c>
      <c r="O14" s="626">
        <f>IF('Hipóteses xerais (2)'!$E$64="Si",'Hipóteses xerais (2)'!$C$65,0)</f>
        <v>1680</v>
      </c>
      <c r="P14" s="626">
        <f>IF('Hipóteses xerais (2)'!$E$64="Si",'Hipóteses xerais (2)'!$C$65,0)</f>
        <v>1680</v>
      </c>
      <c r="Q14" s="626">
        <f>IF('Hipóteses xerais (2)'!$E$64="Si",'Hipóteses xerais (2)'!$C$65,0)</f>
        <v>1680</v>
      </c>
      <c r="R14" s="626">
        <f>IF('Hipóteses xerais (2)'!$E$64="Si",'Hipóteses xerais (2)'!$C$65,0)</f>
        <v>1680</v>
      </c>
      <c r="S14" s="626">
        <f>IF('Hipóteses xerais (2)'!$E$64="Si",'Hipóteses xerais (2)'!$C$65,0)</f>
        <v>1680</v>
      </c>
      <c r="T14" s="626">
        <f>IF('Hipóteses xerais (2)'!$E$64="Si",'Hipóteses xerais (2)'!$C$65,0)</f>
        <v>1680</v>
      </c>
      <c r="U14" s="626">
        <f>IF('Hipóteses xerais (2)'!$E$64="Si",'Hipóteses xerais (2)'!$C$65,0)</f>
        <v>1680</v>
      </c>
      <c r="V14" s="626">
        <f>IF('Hipóteses xerais (2)'!$E$64="Si",'Hipóteses xerais (2)'!$C$65,0)</f>
        <v>1680</v>
      </c>
      <c r="W14" s="626">
        <f>IF('Hipóteses xerais (2)'!$E$64="Si",'Hipóteses xerais (2)'!$C$65,0)</f>
        <v>1680</v>
      </c>
      <c r="X14" s="626">
        <f>IF('Hipóteses xerais (2)'!$E$64="Si",'Hipóteses xerais (2)'!$C$65,0)</f>
        <v>1680</v>
      </c>
      <c r="Y14" s="626">
        <f>IF('Hipóteses xerais (2)'!$E$64="Si",'Hipóteses xerais (2)'!$C$65,0)</f>
        <v>1680</v>
      </c>
      <c r="Z14" s="626">
        <f>IF('Hipóteses xerais (2)'!$E$64="Si",'Hipóteses xerais (2)'!$C$65,0)</f>
        <v>1680</v>
      </c>
      <c r="AA14" s="626">
        <f>IF('Hipóteses xerais (2)'!$E$64="Si",'Hipóteses xerais (2)'!$C$65,0)</f>
        <v>1680</v>
      </c>
      <c r="AB14" s="626">
        <f>IF('Hipóteses xerais (2)'!$E$64="Si",'Hipóteses xerais (2)'!$C$65,0)</f>
        <v>1680</v>
      </c>
      <c r="AC14" s="626">
        <f>IF('Hipóteses xerais (2)'!$E$64="Si",'Hipóteses xerais (2)'!$C$65,0)</f>
        <v>1680</v>
      </c>
      <c r="AD14" s="626">
        <f>IF('Hipóteses xerais (2)'!$E$64="Si",'Hipóteses xerais (2)'!$C$65,0)</f>
        <v>1680</v>
      </c>
      <c r="AE14" s="710">
        <f t="shared" si="0"/>
        <v>42000</v>
      </c>
      <c r="AF14" s="626"/>
    </row>
    <row r="15" spans="1:32" s="13" customFormat="1" ht="15" thickBot="1" x14ac:dyDescent="0.4">
      <c r="A15" s="179">
        <f>SUM(F13:AD13)</f>
        <v>101972.53266512754</v>
      </c>
      <c r="C15" s="720" t="s">
        <v>908</v>
      </c>
      <c r="D15" s="179">
        <f t="shared" ref="D15:AD15" si="2">D9+D13+D14</f>
        <v>10849.47</v>
      </c>
      <c r="E15" s="179">
        <f t="shared" si="2"/>
        <v>0</v>
      </c>
      <c r="F15" s="179">
        <f t="shared" si="2"/>
        <v>10849.47</v>
      </c>
      <c r="G15" s="179">
        <f t="shared" si="2"/>
        <v>11046.669</v>
      </c>
      <c r="H15" s="179">
        <f t="shared" si="2"/>
        <v>11375.335738999998</v>
      </c>
      <c r="I15" s="179">
        <f t="shared" si="2"/>
        <v>11714.305706908999</v>
      </c>
      <c r="J15" s="179">
        <f t="shared" si="2"/>
        <v>12063.901969743178</v>
      </c>
      <c r="K15" s="179">
        <f t="shared" si="2"/>
        <v>12424.457725874654</v>
      </c>
      <c r="L15" s="179">
        <f t="shared" si="2"/>
        <v>12796.31662388843</v>
      </c>
      <c r="M15" s="179">
        <f t="shared" si="2"/>
        <v>13179.833090413005</v>
      </c>
      <c r="N15" s="179">
        <f t="shared" si="2"/>
        <v>13575.372668237733</v>
      </c>
      <c r="O15" s="179">
        <f t="shared" si="2"/>
        <v>13983.312365039727</v>
      </c>
      <c r="P15" s="179">
        <f t="shared" si="2"/>
        <v>14404.041013053356</v>
      </c>
      <c r="Q15" s="179">
        <f t="shared" si="2"/>
        <v>14837.959640025725</v>
      </c>
      <c r="R15" s="179">
        <f t="shared" si="2"/>
        <v>15285.481851812401</v>
      </c>
      <c r="S15" s="179">
        <f t="shared" si="2"/>
        <v>15747.034226978736</v>
      </c>
      <c r="T15" s="179">
        <f t="shared" si="2"/>
        <v>16223.056723783553</v>
      </c>
      <c r="U15" s="179">
        <f t="shared" si="2"/>
        <v>16714.003099933907</v>
      </c>
      <c r="V15" s="179">
        <f t="shared" si="2"/>
        <v>17220.341345511741</v>
      </c>
      <c r="W15" s="179">
        <f t="shared" si="2"/>
        <v>17742.554129485845</v>
      </c>
      <c r="X15" s="179">
        <f t="shared" si="2"/>
        <v>18281.13926023557</v>
      </c>
      <c r="Y15" s="179">
        <f t="shared" si="2"/>
        <v>18836.610160526077</v>
      </c>
      <c r="Z15" s="179">
        <f t="shared" si="2"/>
        <v>19409.496357388729</v>
      </c>
      <c r="AA15" s="179">
        <f t="shared" si="2"/>
        <v>20000.34398737449</v>
      </c>
      <c r="AB15" s="179">
        <f t="shared" si="2"/>
        <v>20609.716317662824</v>
      </c>
      <c r="AC15" s="179">
        <f t="shared" si="2"/>
        <v>21238.194283523848</v>
      </c>
      <c r="AD15" s="179">
        <f t="shared" si="2"/>
        <v>21886.377042646996</v>
      </c>
      <c r="AE15" s="704">
        <f t="shared" si="0"/>
        <v>391445.32432904956</v>
      </c>
      <c r="AF15" s="179"/>
    </row>
    <row r="16" spans="1:32" ht="15.5" thickTop="1" thickBot="1" x14ac:dyDescent="0.4">
      <c r="A16">
        <v>0.05</v>
      </c>
      <c r="B16" s="13"/>
      <c r="C16" s="719" t="s">
        <v>907</v>
      </c>
      <c r="D16" s="690"/>
      <c r="E16" s="690"/>
      <c r="F16" s="718">
        <v>2025</v>
      </c>
      <c r="G16" s="718">
        <v>2026</v>
      </c>
      <c r="H16" s="718">
        <v>2027</v>
      </c>
      <c r="I16" s="718">
        <v>2028</v>
      </c>
      <c r="J16" s="718">
        <v>2029</v>
      </c>
      <c r="K16" s="718">
        <v>2030</v>
      </c>
      <c r="L16" s="718">
        <v>2031</v>
      </c>
      <c r="M16" s="718">
        <v>2032</v>
      </c>
      <c r="N16" s="718">
        <v>2033</v>
      </c>
      <c r="O16" s="718">
        <v>2034</v>
      </c>
      <c r="P16" s="718">
        <v>2035</v>
      </c>
      <c r="Q16" s="718">
        <v>2036</v>
      </c>
      <c r="R16" s="718">
        <v>2037</v>
      </c>
      <c r="S16" s="718">
        <v>2038</v>
      </c>
      <c r="T16" s="718">
        <v>2039</v>
      </c>
      <c r="U16" s="718">
        <v>2040</v>
      </c>
      <c r="V16" s="718">
        <v>2041</v>
      </c>
      <c r="W16" s="718">
        <v>2042</v>
      </c>
      <c r="X16" s="718">
        <v>2043</v>
      </c>
      <c r="Y16" s="718">
        <v>2044</v>
      </c>
      <c r="Z16" s="718">
        <v>2045</v>
      </c>
      <c r="AA16" s="718">
        <v>2046</v>
      </c>
      <c r="AB16" s="718">
        <v>2047</v>
      </c>
      <c r="AC16" s="718">
        <v>2048</v>
      </c>
      <c r="AD16" s="718">
        <v>2049</v>
      </c>
      <c r="AE16" s="717" t="s">
        <v>906</v>
      </c>
    </row>
    <row r="17" spans="2:31" ht="15" thickTop="1" x14ac:dyDescent="0.35">
      <c r="B17">
        <v>602</v>
      </c>
      <c r="C17" s="716" t="s">
        <v>212</v>
      </c>
      <c r="D17" s="150">
        <f>'Estim. Gastos'!$F$7</f>
        <v>0</v>
      </c>
      <c r="E17" s="150"/>
      <c r="F17" s="713">
        <f>D17</f>
        <v>0</v>
      </c>
      <c r="G17" s="713">
        <f>F17</f>
        <v>0</v>
      </c>
      <c r="H17" s="713">
        <f>G17*(1+'Hipóteses xerais (2)'!$C$40)</f>
        <v>0</v>
      </c>
      <c r="I17" s="713">
        <f>H17*(1+'Hipóteses xerais (2)'!$C$40)</f>
        <v>0</v>
      </c>
      <c r="J17" s="713">
        <f>I17*(1+'Hipóteses xerais (2)'!$C$40)</f>
        <v>0</v>
      </c>
      <c r="K17" s="713">
        <f>J17*(1+'Hipóteses xerais (2)'!$C$40)</f>
        <v>0</v>
      </c>
      <c r="L17" s="713">
        <f>K17*(1+'Hipóteses xerais (2)'!$C$40)</f>
        <v>0</v>
      </c>
      <c r="M17" s="713">
        <f>L17*(1+'Hipóteses xerais (2)'!$C$40)</f>
        <v>0</v>
      </c>
      <c r="N17" s="713">
        <f>M17*(1+'Hipóteses xerais (2)'!$C$40)</f>
        <v>0</v>
      </c>
      <c r="O17" s="713">
        <f>N17*(1+'Hipóteses xerais (2)'!$C$40)</f>
        <v>0</v>
      </c>
      <c r="P17" s="713">
        <f>O17*(1+'Hipóteses xerais (2)'!$C$40)</f>
        <v>0</v>
      </c>
      <c r="Q17" s="713">
        <f>P17*(1+'Hipóteses xerais (2)'!$C$40)</f>
        <v>0</v>
      </c>
      <c r="R17" s="713">
        <f>Q17*(1+'Hipóteses xerais (2)'!$C$40)</f>
        <v>0</v>
      </c>
      <c r="S17" s="713">
        <f>R17*(1+'Hipóteses xerais (2)'!$C$40)</f>
        <v>0</v>
      </c>
      <c r="T17" s="713">
        <f>S17*(1+'Hipóteses xerais (2)'!$C$40)</f>
        <v>0</v>
      </c>
      <c r="U17" s="713">
        <f>T17*(1+'Hipóteses xerais (2)'!$C$40)</f>
        <v>0</v>
      </c>
      <c r="V17" s="713">
        <f>U17*(1+'Hipóteses xerais (2)'!$C$40)</f>
        <v>0</v>
      </c>
      <c r="W17" s="713">
        <f>V17*(1+'Hipóteses xerais (2)'!$C$40)</f>
        <v>0</v>
      </c>
      <c r="X17" s="713">
        <f>W17*(1+'Hipóteses xerais (2)'!$C$40)</f>
        <v>0</v>
      </c>
      <c r="Y17" s="713">
        <f>X17*(1+'Hipóteses xerais (2)'!$C$40)</f>
        <v>0</v>
      </c>
      <c r="Z17" s="713">
        <f>Y17*(1+'Hipóteses xerais (2)'!$C$40)</f>
        <v>0</v>
      </c>
      <c r="AA17" s="713">
        <f>Z17*(1+'Hipóteses xerais (2)'!$C$40)</f>
        <v>0</v>
      </c>
      <c r="AB17" s="713">
        <f>AA17*(1+'Hipóteses xerais (2)'!$C$40)</f>
        <v>0</v>
      </c>
      <c r="AC17" s="713">
        <f>AB17*(1+'Hipóteses xerais (2)'!$C$40)</f>
        <v>0</v>
      </c>
      <c r="AD17" s="713">
        <f>AC17*(1+'Hipóteses xerais (2)'!$C$40)</f>
        <v>0</v>
      </c>
      <c r="AE17" s="715">
        <f t="shared" ref="AE17:AE50" si="3">SUM(F17:AD17)</f>
        <v>0</v>
      </c>
    </row>
    <row r="18" spans="2:31" x14ac:dyDescent="0.35">
      <c r="B18">
        <v>607</v>
      </c>
      <c r="C18" s="714" t="s">
        <v>266</v>
      </c>
      <c r="D18" s="150">
        <f>'Estim. Gastos'!F13</f>
        <v>0</v>
      </c>
      <c r="E18" s="150"/>
      <c r="F18" s="713">
        <f>D18</f>
        <v>0</v>
      </c>
      <c r="G18" s="713">
        <f>F18</f>
        <v>0</v>
      </c>
      <c r="H18" s="713">
        <f>G18*(1+'Hipóteses xerais (2)'!$C$40)</f>
        <v>0</v>
      </c>
      <c r="I18" s="713">
        <f>H18*(1+'Hipóteses xerais (2)'!$C$40)</f>
        <v>0</v>
      </c>
      <c r="J18" s="713">
        <f>I18*(1+'Hipóteses xerais (2)'!$C$40)</f>
        <v>0</v>
      </c>
      <c r="K18" s="713">
        <f>J18*(1+'Hipóteses xerais (2)'!$C$40)</f>
        <v>0</v>
      </c>
      <c r="L18" s="713">
        <f>K18*(1+'Hipóteses xerais (2)'!$C$40)</f>
        <v>0</v>
      </c>
      <c r="M18" s="713">
        <f>L18*(1+'Hipóteses xerais (2)'!$C$40)</f>
        <v>0</v>
      </c>
      <c r="N18" s="713">
        <f>M18*(1+'Hipóteses xerais (2)'!$C$40)</f>
        <v>0</v>
      </c>
      <c r="O18" s="713">
        <f>N18*(1+'Hipóteses xerais (2)'!$C$40)</f>
        <v>0</v>
      </c>
      <c r="P18" s="713">
        <f>O18*(1+'Hipóteses xerais (2)'!$C$40)</f>
        <v>0</v>
      </c>
      <c r="Q18" s="713">
        <f>P18*(1+'Hipóteses xerais (2)'!$C$40)</f>
        <v>0</v>
      </c>
      <c r="R18" s="713">
        <f>Q18*(1+'Hipóteses xerais (2)'!$C$40)</f>
        <v>0</v>
      </c>
      <c r="S18" s="713">
        <f>R18*(1+'Hipóteses xerais (2)'!$C$40)</f>
        <v>0</v>
      </c>
      <c r="T18" s="713">
        <f>S18*(1+'Hipóteses xerais (2)'!$C$40)</f>
        <v>0</v>
      </c>
      <c r="U18" s="713">
        <f>T18*(1+'Hipóteses xerais (2)'!$C$40)</f>
        <v>0</v>
      </c>
      <c r="V18" s="713">
        <f>U18*(1+'Hipóteses xerais (2)'!$C$40)</f>
        <v>0</v>
      </c>
      <c r="W18" s="713">
        <f>V18*(1+'Hipóteses xerais (2)'!$C$40)</f>
        <v>0</v>
      </c>
      <c r="X18" s="713">
        <f>W18*(1+'Hipóteses xerais (2)'!$C$40)</f>
        <v>0</v>
      </c>
      <c r="Y18" s="713">
        <f>X18*(1+'Hipóteses xerais (2)'!$C$40)</f>
        <v>0</v>
      </c>
      <c r="Z18" s="713">
        <f>Y18*(1+'Hipóteses xerais (2)'!$C$40)</f>
        <v>0</v>
      </c>
      <c r="AA18" s="713">
        <f>Z18*(1+'Hipóteses xerais (2)'!$C$40)</f>
        <v>0</v>
      </c>
      <c r="AB18" s="713">
        <f>AA18*(1+'Hipóteses xerais (2)'!$C$40)</f>
        <v>0</v>
      </c>
      <c r="AC18" s="713">
        <f>AB18*(1+'Hipóteses xerais (2)'!$C$40)</f>
        <v>0</v>
      </c>
      <c r="AD18" s="713">
        <f>AC18*(1+'Hipóteses xerais (2)'!$C$40)</f>
        <v>0</v>
      </c>
      <c r="AE18" s="653">
        <f t="shared" si="3"/>
        <v>0</v>
      </c>
    </row>
    <row r="19" spans="2:31" s="13" customFormat="1" x14ac:dyDescent="0.35">
      <c r="B19" s="13">
        <v>60</v>
      </c>
      <c r="C19" s="712" t="s">
        <v>905</v>
      </c>
      <c r="D19" s="179">
        <f t="shared" ref="D19:AD19" si="4">SUM(D17:D18)</f>
        <v>0</v>
      </c>
      <c r="E19" s="179">
        <f t="shared" si="4"/>
        <v>0</v>
      </c>
      <c r="F19" s="179">
        <f t="shared" si="4"/>
        <v>0</v>
      </c>
      <c r="G19" s="179">
        <f t="shared" si="4"/>
        <v>0</v>
      </c>
      <c r="H19" s="179">
        <f t="shared" si="4"/>
        <v>0</v>
      </c>
      <c r="I19" s="179">
        <f t="shared" si="4"/>
        <v>0</v>
      </c>
      <c r="J19" s="179">
        <f t="shared" si="4"/>
        <v>0</v>
      </c>
      <c r="K19" s="179">
        <f t="shared" si="4"/>
        <v>0</v>
      </c>
      <c r="L19" s="179">
        <f t="shared" si="4"/>
        <v>0</v>
      </c>
      <c r="M19" s="179">
        <f t="shared" si="4"/>
        <v>0</v>
      </c>
      <c r="N19" s="179">
        <f t="shared" si="4"/>
        <v>0</v>
      </c>
      <c r="O19" s="179">
        <f t="shared" si="4"/>
        <v>0</v>
      </c>
      <c r="P19" s="179">
        <f t="shared" si="4"/>
        <v>0</v>
      </c>
      <c r="Q19" s="179">
        <f t="shared" si="4"/>
        <v>0</v>
      </c>
      <c r="R19" s="179">
        <f t="shared" si="4"/>
        <v>0</v>
      </c>
      <c r="S19" s="179">
        <f t="shared" si="4"/>
        <v>0</v>
      </c>
      <c r="T19" s="179">
        <f t="shared" si="4"/>
        <v>0</v>
      </c>
      <c r="U19" s="179">
        <f t="shared" si="4"/>
        <v>0</v>
      </c>
      <c r="V19" s="179">
        <f t="shared" si="4"/>
        <v>0</v>
      </c>
      <c r="W19" s="179">
        <f t="shared" si="4"/>
        <v>0</v>
      </c>
      <c r="X19" s="179">
        <f t="shared" si="4"/>
        <v>0</v>
      </c>
      <c r="Y19" s="179">
        <f t="shared" si="4"/>
        <v>0</v>
      </c>
      <c r="Z19" s="179">
        <f t="shared" si="4"/>
        <v>0</v>
      </c>
      <c r="AA19" s="179">
        <f t="shared" si="4"/>
        <v>0</v>
      </c>
      <c r="AB19" s="179">
        <f t="shared" si="4"/>
        <v>0</v>
      </c>
      <c r="AC19" s="179">
        <f t="shared" si="4"/>
        <v>0</v>
      </c>
      <c r="AD19" s="179">
        <f t="shared" si="4"/>
        <v>0</v>
      </c>
      <c r="AE19" s="704">
        <f t="shared" si="3"/>
        <v>0</v>
      </c>
    </row>
    <row r="20" spans="2:31" x14ac:dyDescent="0.35">
      <c r="B20">
        <v>640</v>
      </c>
      <c r="C20" s="171" t="s">
        <v>904</v>
      </c>
      <c r="D20" s="150">
        <f>'Estim. Gastos'!$F$17</f>
        <v>0</v>
      </c>
      <c r="E20" s="150"/>
      <c r="F20" s="150">
        <f>D20</f>
        <v>0</v>
      </c>
      <c r="G20" s="150">
        <f>F20</f>
        <v>0</v>
      </c>
      <c r="H20" s="150">
        <f>G20*(1+'Hipóteses xerais (2)'!$C$40)</f>
        <v>0</v>
      </c>
      <c r="I20" s="150">
        <f>H20*(1+'Hipóteses xerais (2)'!$C$40)</f>
        <v>0</v>
      </c>
      <c r="J20" s="150">
        <f>I20*(1+'Hipóteses xerais (2)'!$C$40)</f>
        <v>0</v>
      </c>
      <c r="K20" s="150">
        <f>J20*(1+'Hipóteses xerais (2)'!$C$40)</f>
        <v>0</v>
      </c>
      <c r="L20" s="150">
        <f>K20*(1+'Hipóteses xerais (2)'!$C$40)</f>
        <v>0</v>
      </c>
      <c r="M20" s="150">
        <f>L20*(1+'Hipóteses xerais (2)'!$C$40)</f>
        <v>0</v>
      </c>
      <c r="N20" s="150">
        <f>M20*(1+'Hipóteses xerais (2)'!$C$40)</f>
        <v>0</v>
      </c>
      <c r="O20" s="150">
        <f>N20*(1+'Hipóteses xerais (2)'!$C$40)</f>
        <v>0</v>
      </c>
      <c r="P20" s="150">
        <f>O20*(1+'Hipóteses xerais (2)'!$C$40)</f>
        <v>0</v>
      </c>
      <c r="Q20" s="150">
        <f>P20*(1+'Hipóteses xerais (2)'!$C$40)</f>
        <v>0</v>
      </c>
      <c r="R20" s="150">
        <f>Q20*(1+'Hipóteses xerais (2)'!$C$40)</f>
        <v>0</v>
      </c>
      <c r="S20" s="150">
        <f>R20*(1+'Hipóteses xerais (2)'!$C$40)</f>
        <v>0</v>
      </c>
      <c r="T20" s="150">
        <f>S20*(1+'Hipóteses xerais (2)'!$C$40)</f>
        <v>0</v>
      </c>
      <c r="U20" s="150">
        <f>T20*(1+'Hipóteses xerais (2)'!$C$40)</f>
        <v>0</v>
      </c>
      <c r="V20" s="150">
        <f>U20*(1+'Hipóteses xerais (2)'!$C$40)</f>
        <v>0</v>
      </c>
      <c r="W20" s="150">
        <f>V20*(1+'Hipóteses xerais (2)'!$C$40)</f>
        <v>0</v>
      </c>
      <c r="X20" s="150">
        <f>W20*(1+'Hipóteses xerais (2)'!$C$40)</f>
        <v>0</v>
      </c>
      <c r="Y20" s="150">
        <f>X20*(1+'Hipóteses xerais (2)'!$C$40)</f>
        <v>0</v>
      </c>
      <c r="Z20" s="150">
        <f>Y20*(1+'Hipóteses xerais (2)'!$C$40)</f>
        <v>0</v>
      </c>
      <c r="AA20" s="150">
        <f>Z20*(1+'Hipóteses xerais (2)'!$C$40)</f>
        <v>0</v>
      </c>
      <c r="AB20" s="150">
        <f>AA20*(1+'Hipóteses xerais (2)'!$C$40)</f>
        <v>0</v>
      </c>
      <c r="AC20" s="150">
        <f>AB20*(1+'Hipóteses xerais (2)'!$C$40)</f>
        <v>0</v>
      </c>
      <c r="AD20" s="150">
        <f>AC20*(1+'Hipóteses xerais (2)'!$C$40)</f>
        <v>0</v>
      </c>
      <c r="AE20" s="653">
        <f t="shared" si="3"/>
        <v>0</v>
      </c>
    </row>
    <row r="21" spans="2:31" x14ac:dyDescent="0.35">
      <c r="B21">
        <v>642</v>
      </c>
      <c r="C21" s="171" t="s">
        <v>283</v>
      </c>
      <c r="D21" s="150">
        <f>'Estim. Gastos'!$F$18</f>
        <v>0</v>
      </c>
      <c r="E21" s="150"/>
      <c r="F21" s="150">
        <f>D21</f>
        <v>0</v>
      </c>
      <c r="G21" s="150">
        <f>F21</f>
        <v>0</v>
      </c>
      <c r="H21" s="150">
        <f>G21*(1+'Hipóteses xerais (2)'!$C$40)</f>
        <v>0</v>
      </c>
      <c r="I21" s="150">
        <f>H21*(1+'Hipóteses xerais (2)'!$C$40)</f>
        <v>0</v>
      </c>
      <c r="J21" s="150">
        <f>I21*(1+'Hipóteses xerais (2)'!$C$40)</f>
        <v>0</v>
      </c>
      <c r="K21" s="150">
        <f>J21*(1+'Hipóteses xerais (2)'!$C$40)</f>
        <v>0</v>
      </c>
      <c r="L21" s="150">
        <f>K21*(1+'Hipóteses xerais (2)'!$C$40)</f>
        <v>0</v>
      </c>
      <c r="M21" s="150">
        <f>L21*(1+'Hipóteses xerais (2)'!$C$40)</f>
        <v>0</v>
      </c>
      <c r="N21" s="150">
        <f>M21*(1+'Hipóteses xerais (2)'!$C$40)</f>
        <v>0</v>
      </c>
      <c r="O21" s="150">
        <f>N21*(1+'Hipóteses xerais (2)'!$C$40)</f>
        <v>0</v>
      </c>
      <c r="P21" s="150">
        <f>O21*(1+'Hipóteses xerais (2)'!$C$40)</f>
        <v>0</v>
      </c>
      <c r="Q21" s="150">
        <f>P21*(1+'Hipóteses xerais (2)'!$C$40)</f>
        <v>0</v>
      </c>
      <c r="R21" s="150">
        <f>Q21*(1+'Hipóteses xerais (2)'!$C$40)</f>
        <v>0</v>
      </c>
      <c r="S21" s="150">
        <f>R21*(1+'Hipóteses xerais (2)'!$C$40)</f>
        <v>0</v>
      </c>
      <c r="T21" s="150">
        <f>S21*(1+'Hipóteses xerais (2)'!$C$40)</f>
        <v>0</v>
      </c>
      <c r="U21" s="150">
        <f>T21*(1+'Hipóteses xerais (2)'!$C$40)</f>
        <v>0</v>
      </c>
      <c r="V21" s="150">
        <f>U21*(1+'Hipóteses xerais (2)'!$C$40)</f>
        <v>0</v>
      </c>
      <c r="W21" s="150">
        <f>V21*(1+'Hipóteses xerais (2)'!$C$40)</f>
        <v>0</v>
      </c>
      <c r="X21" s="150">
        <f>W21*(1+'Hipóteses xerais (2)'!$C$40)</f>
        <v>0</v>
      </c>
      <c r="Y21" s="150">
        <f>X21*(1+'Hipóteses xerais (2)'!$C$40)</f>
        <v>0</v>
      </c>
      <c r="Z21" s="150">
        <f>Y21*(1+'Hipóteses xerais (2)'!$C$40)</f>
        <v>0</v>
      </c>
      <c r="AA21" s="150">
        <f>Z21*(1+'Hipóteses xerais (2)'!$C$40)</f>
        <v>0</v>
      </c>
      <c r="AB21" s="150">
        <f>AA21*(1+'Hipóteses xerais (2)'!$C$40)</f>
        <v>0</v>
      </c>
      <c r="AC21" s="150">
        <f>AB21*(1+'Hipóteses xerais (2)'!$C$40)</f>
        <v>0</v>
      </c>
      <c r="AD21" s="150">
        <f>AC21*(1+'Hipóteses xerais (2)'!$C$40)</f>
        <v>0</v>
      </c>
      <c r="AE21" s="653">
        <f t="shared" si="3"/>
        <v>0</v>
      </c>
    </row>
    <row r="22" spans="2:31" x14ac:dyDescent="0.35">
      <c r="B22">
        <v>649</v>
      </c>
      <c r="C22" s="171" t="s">
        <v>286</v>
      </c>
      <c r="D22" s="150">
        <f>'Estim. Gastos'!$F$19</f>
        <v>0</v>
      </c>
      <c r="F22" s="150">
        <f>D22</f>
        <v>0</v>
      </c>
      <c r="G22" s="150">
        <f>F22</f>
        <v>0</v>
      </c>
      <c r="H22" s="150">
        <f>G22*(1+'Hipóteses xerais (2)'!$C$40)</f>
        <v>0</v>
      </c>
      <c r="I22" s="150">
        <f>H22*(1+'Hipóteses xerais (2)'!$C$40)</f>
        <v>0</v>
      </c>
      <c r="J22" s="150">
        <f>I22*(1+'Hipóteses xerais (2)'!$C$40)</f>
        <v>0</v>
      </c>
      <c r="K22" s="150">
        <f>J22*(1+'Hipóteses xerais (2)'!$C$40)</f>
        <v>0</v>
      </c>
      <c r="L22" s="150">
        <f>K22*(1+'Hipóteses xerais (2)'!$C$40)</f>
        <v>0</v>
      </c>
      <c r="M22" s="150">
        <f>L22*(1+'Hipóteses xerais (2)'!$C$40)</f>
        <v>0</v>
      </c>
      <c r="N22" s="150">
        <f>M22*(1+'Hipóteses xerais (2)'!$C$40)</f>
        <v>0</v>
      </c>
      <c r="O22" s="150">
        <f>N22*(1+'Hipóteses xerais (2)'!$C$40)</f>
        <v>0</v>
      </c>
      <c r="P22" s="150">
        <f>O22*(1+'Hipóteses xerais (2)'!$C$40)</f>
        <v>0</v>
      </c>
      <c r="Q22" s="150">
        <f>P22*(1+'Hipóteses xerais (2)'!$C$40)</f>
        <v>0</v>
      </c>
      <c r="R22" s="150">
        <f>Q22*(1+'Hipóteses xerais (2)'!$C$40)</f>
        <v>0</v>
      </c>
      <c r="S22" s="150">
        <f>R22*(1+'Hipóteses xerais (2)'!$C$40)</f>
        <v>0</v>
      </c>
      <c r="T22" s="150">
        <f>S22*(1+'Hipóteses xerais (2)'!$C$40)</f>
        <v>0</v>
      </c>
      <c r="U22" s="150">
        <f>T22*(1+'Hipóteses xerais (2)'!$C$40)</f>
        <v>0</v>
      </c>
      <c r="V22" s="150">
        <f>U22*(1+'Hipóteses xerais (2)'!$C$40)</f>
        <v>0</v>
      </c>
      <c r="W22" s="150">
        <f>V22*(1+'Hipóteses xerais (2)'!$C$40)</f>
        <v>0</v>
      </c>
      <c r="X22" s="150">
        <f>W22*(1+'Hipóteses xerais (2)'!$C$40)</f>
        <v>0</v>
      </c>
      <c r="Y22" s="150">
        <f>X22*(1+'Hipóteses xerais (2)'!$C$40)</f>
        <v>0</v>
      </c>
      <c r="Z22" s="150">
        <f>Y22*(1+'Hipóteses xerais (2)'!$C$40)</f>
        <v>0</v>
      </c>
      <c r="AA22" s="150">
        <f>Z22*(1+'Hipóteses xerais (2)'!$C$40)</f>
        <v>0</v>
      </c>
      <c r="AB22" s="150">
        <f>AA22*(1+'Hipóteses xerais (2)'!$C$40)</f>
        <v>0</v>
      </c>
      <c r="AC22" s="150">
        <f>AB22*(1+'Hipóteses xerais (2)'!$C$40)</f>
        <v>0</v>
      </c>
      <c r="AD22" s="150">
        <f>AC22*(1+'Hipóteses xerais (2)'!$C$40)</f>
        <v>0</v>
      </c>
      <c r="AE22" s="653">
        <f t="shared" si="3"/>
        <v>0</v>
      </c>
    </row>
    <row r="23" spans="2:31" s="13" customFormat="1" x14ac:dyDescent="0.35">
      <c r="B23" s="13">
        <v>64</v>
      </c>
      <c r="C23" s="696" t="s">
        <v>903</v>
      </c>
      <c r="D23" s="179">
        <f t="shared" ref="D23:AD23" si="5">SUM(D20:D22)</f>
        <v>0</v>
      </c>
      <c r="E23" s="179">
        <f t="shared" si="5"/>
        <v>0</v>
      </c>
      <c r="F23" s="179">
        <f t="shared" si="5"/>
        <v>0</v>
      </c>
      <c r="G23" s="179">
        <f t="shared" si="5"/>
        <v>0</v>
      </c>
      <c r="H23" s="179">
        <f t="shared" si="5"/>
        <v>0</v>
      </c>
      <c r="I23" s="179">
        <f t="shared" si="5"/>
        <v>0</v>
      </c>
      <c r="J23" s="179">
        <f t="shared" si="5"/>
        <v>0</v>
      </c>
      <c r="K23" s="179">
        <f t="shared" si="5"/>
        <v>0</v>
      </c>
      <c r="L23" s="179">
        <f t="shared" si="5"/>
        <v>0</v>
      </c>
      <c r="M23" s="179">
        <f t="shared" si="5"/>
        <v>0</v>
      </c>
      <c r="N23" s="179">
        <f t="shared" si="5"/>
        <v>0</v>
      </c>
      <c r="O23" s="179">
        <f t="shared" si="5"/>
        <v>0</v>
      </c>
      <c r="P23" s="179">
        <f t="shared" si="5"/>
        <v>0</v>
      </c>
      <c r="Q23" s="179">
        <f t="shared" si="5"/>
        <v>0</v>
      </c>
      <c r="R23" s="179">
        <f t="shared" si="5"/>
        <v>0</v>
      </c>
      <c r="S23" s="179">
        <f t="shared" si="5"/>
        <v>0</v>
      </c>
      <c r="T23" s="179">
        <f t="shared" si="5"/>
        <v>0</v>
      </c>
      <c r="U23" s="179">
        <f t="shared" si="5"/>
        <v>0</v>
      </c>
      <c r="V23" s="179">
        <f t="shared" si="5"/>
        <v>0</v>
      </c>
      <c r="W23" s="179">
        <f t="shared" si="5"/>
        <v>0</v>
      </c>
      <c r="X23" s="179">
        <f t="shared" si="5"/>
        <v>0</v>
      </c>
      <c r="Y23" s="179">
        <f t="shared" si="5"/>
        <v>0</v>
      </c>
      <c r="Z23" s="179">
        <f t="shared" si="5"/>
        <v>0</v>
      </c>
      <c r="AA23" s="179">
        <f t="shared" si="5"/>
        <v>0</v>
      </c>
      <c r="AB23" s="179">
        <f t="shared" si="5"/>
        <v>0</v>
      </c>
      <c r="AC23" s="179">
        <f t="shared" si="5"/>
        <v>0</v>
      </c>
      <c r="AD23" s="179">
        <f t="shared" si="5"/>
        <v>0</v>
      </c>
      <c r="AE23" s="704">
        <f t="shared" si="3"/>
        <v>0</v>
      </c>
    </row>
    <row r="24" spans="2:31" x14ac:dyDescent="0.35">
      <c r="B24">
        <v>621</v>
      </c>
      <c r="C24" s="171" t="s">
        <v>338</v>
      </c>
      <c r="D24" s="150">
        <f>'Estim. Gastos'!$F$31</f>
        <v>480</v>
      </c>
      <c r="E24" s="150"/>
      <c r="F24" s="150">
        <f t="shared" ref="F24:F32" si="6">D24</f>
        <v>480</v>
      </c>
      <c r="G24" s="150">
        <f t="shared" ref="G24:G32" si="7">F24</f>
        <v>480</v>
      </c>
      <c r="H24" s="150">
        <f>G24*(1+'Hipóteses xerais (2)'!$C$42)</f>
        <v>495.36</v>
      </c>
      <c r="I24" s="150">
        <f>H24*(1+'Hipóteses xerais (2)'!$C$42)</f>
        <v>511.21152000000001</v>
      </c>
      <c r="J24" s="150">
        <f>I24*(1+'Hipóteses xerais (2)'!$C$42)</f>
        <v>527.57028864000006</v>
      </c>
      <c r="K24" s="150">
        <f>J24*(1+'Hipóteses xerais (2)'!$C$42)</f>
        <v>544.45253787648005</v>
      </c>
      <c r="L24" s="150">
        <f>K24*(1+'Hipóteses xerais (2)'!$C$42)</f>
        <v>561.87501908852744</v>
      </c>
      <c r="M24" s="150">
        <f>L24*(1+'Hipóteses xerais (2)'!$C$42)</f>
        <v>579.85501969936035</v>
      </c>
      <c r="N24" s="150">
        <f>M24*(1+'Hipóteses xerais (2)'!$C$42)</f>
        <v>598.41038032973995</v>
      </c>
      <c r="O24" s="150">
        <f>N24*(1+'Hipóteses xerais (2)'!$C$42)</f>
        <v>617.5595125002917</v>
      </c>
      <c r="P24" s="150">
        <f>O24*(1+'Hipóteses xerais (2)'!$C$42)</f>
        <v>637.32141690030107</v>
      </c>
      <c r="Q24" s="150">
        <f>P24*(1+'Hipóteses xerais (2)'!$C$42)</f>
        <v>657.71570224111076</v>
      </c>
      <c r="R24" s="150">
        <f>Q24*(1+'Hipóteses xerais (2)'!$C$42)</f>
        <v>678.76260471282637</v>
      </c>
      <c r="S24" s="150">
        <f>R24*(1+'Hipóteses xerais (2)'!$C$42)</f>
        <v>700.48300806363682</v>
      </c>
      <c r="T24" s="150">
        <f>S24*(1+'Hipóteses xerais (2)'!$C$42)</f>
        <v>722.89846432167326</v>
      </c>
      <c r="U24" s="150">
        <f>T24*(1+'Hipóteses xerais (2)'!$C$42)</f>
        <v>746.03121517996681</v>
      </c>
      <c r="V24" s="150">
        <f>U24*(1+'Hipóteses xerais (2)'!$C$42)</f>
        <v>769.9042140657258</v>
      </c>
      <c r="W24" s="150">
        <f>V24*(1+'Hipóteses xerais (2)'!$C$42)</f>
        <v>794.54114891582901</v>
      </c>
      <c r="X24" s="150">
        <f>W24*(1+'Hipóteses xerais (2)'!$C$42)</f>
        <v>819.96646568113556</v>
      </c>
      <c r="Y24" s="150">
        <f>X24*(1+'Hipóteses xerais (2)'!$C$42)</f>
        <v>846.20539258293195</v>
      </c>
      <c r="Z24" s="150">
        <f>Y24*(1+'Hipóteses xerais (2)'!$C$42)</f>
        <v>873.28396514558574</v>
      </c>
      <c r="AA24" s="150">
        <f>Z24*(1+'Hipóteses xerais (2)'!$C$42)</f>
        <v>901.22905203024447</v>
      </c>
      <c r="AB24" s="150">
        <f>AA24*(1+'Hipóteses xerais (2)'!$C$42)</f>
        <v>930.06838169521234</v>
      </c>
      <c r="AC24" s="150">
        <f>AB24*(1+'Hipóteses xerais (2)'!$C$42)</f>
        <v>959.8305699094592</v>
      </c>
      <c r="AD24" s="150">
        <f>AC24*(1+'Hipóteses xerais (2)'!$C$42)</f>
        <v>990.54514814656193</v>
      </c>
      <c r="AE24" s="653">
        <f t="shared" si="3"/>
        <v>17425.081027726599</v>
      </c>
    </row>
    <row r="25" spans="2:31" x14ac:dyDescent="0.35">
      <c r="B25">
        <v>6221</v>
      </c>
      <c r="C25" s="171" t="s">
        <v>341</v>
      </c>
      <c r="D25" s="150">
        <f>'Estim. Gastos'!$F$32</f>
        <v>600</v>
      </c>
      <c r="E25" s="150"/>
      <c r="F25" s="150">
        <f t="shared" si="6"/>
        <v>600</v>
      </c>
      <c r="G25" s="150">
        <f t="shared" si="7"/>
        <v>600</v>
      </c>
      <c r="H25" s="150">
        <f>G25*(1+'Hipóteses xerais (2)'!$C$42)</f>
        <v>619.20000000000005</v>
      </c>
      <c r="I25" s="150">
        <f>H25*(1+'Hipóteses xerais (2)'!$C$42)</f>
        <v>639.01440000000002</v>
      </c>
      <c r="J25" s="150">
        <f>I25*(1+'Hipóteses xerais (2)'!$C$42)</f>
        <v>659.46286080000004</v>
      </c>
      <c r="K25" s="150">
        <f>J25*(1+'Hipóteses xerais (2)'!$C$42)</f>
        <v>680.56567234560009</v>
      </c>
      <c r="L25" s="150">
        <f>K25*(1+'Hipóteses xerais (2)'!$C$42)</f>
        <v>702.34377386065933</v>
      </c>
      <c r="M25" s="150">
        <f>L25*(1+'Hipóteses xerais (2)'!$C$42)</f>
        <v>724.8187746242005</v>
      </c>
      <c r="N25" s="150">
        <f>M25*(1+'Hipóteses xerais (2)'!$C$42)</f>
        <v>748.01297541217491</v>
      </c>
      <c r="O25" s="150">
        <f>N25*(1+'Hipóteses xerais (2)'!$C$42)</f>
        <v>771.94939062536457</v>
      </c>
      <c r="P25" s="150">
        <f>O25*(1+'Hipóteses xerais (2)'!$C$42)</f>
        <v>796.65177112537629</v>
      </c>
      <c r="Q25" s="150">
        <f>P25*(1+'Hipóteses xerais (2)'!$C$42)</f>
        <v>822.14462780138831</v>
      </c>
      <c r="R25" s="150">
        <f>Q25*(1+'Hipóteses xerais (2)'!$C$42)</f>
        <v>848.45325589103277</v>
      </c>
      <c r="S25" s="150">
        <f>R25*(1+'Hipóteses xerais (2)'!$C$42)</f>
        <v>875.60376007954585</v>
      </c>
      <c r="T25" s="150">
        <f>S25*(1+'Hipóteses xerais (2)'!$C$42)</f>
        <v>903.62308040209132</v>
      </c>
      <c r="U25" s="150">
        <f>T25*(1+'Hipóteses xerais (2)'!$C$42)</f>
        <v>932.53901897495825</v>
      </c>
      <c r="V25" s="150">
        <f>U25*(1+'Hipóteses xerais (2)'!$C$42)</f>
        <v>962.38026758215699</v>
      </c>
      <c r="W25" s="150">
        <f>V25*(1+'Hipóteses xerais (2)'!$C$42)</f>
        <v>993.17643614478607</v>
      </c>
      <c r="X25" s="150">
        <f>W25*(1+'Hipóteses xerais (2)'!$C$42)</f>
        <v>1024.9580821014192</v>
      </c>
      <c r="Y25" s="150">
        <f>X25*(1+'Hipóteses xerais (2)'!$C$42)</f>
        <v>1057.7567407286647</v>
      </c>
      <c r="Z25" s="150">
        <f>Y25*(1+'Hipóteses xerais (2)'!$C$42)</f>
        <v>1091.6049564319819</v>
      </c>
      <c r="AA25" s="150">
        <f>Z25*(1+'Hipóteses xerais (2)'!$C$42)</f>
        <v>1126.5363150378055</v>
      </c>
      <c r="AB25" s="150">
        <f>AA25*(1+'Hipóteses xerais (2)'!$C$42)</f>
        <v>1162.5854771190152</v>
      </c>
      <c r="AC25" s="150">
        <f>AB25*(1+'Hipóteses xerais (2)'!$C$42)</f>
        <v>1199.7882123868237</v>
      </c>
      <c r="AD25" s="150">
        <f>AC25*(1+'Hipóteses xerais (2)'!$C$42)</f>
        <v>1238.1814351832022</v>
      </c>
      <c r="AE25" s="653">
        <f t="shared" si="3"/>
        <v>21781.351284658245</v>
      </c>
    </row>
    <row r="26" spans="2:31" s="10" customFormat="1" x14ac:dyDescent="0.35">
      <c r="B26" s="10">
        <v>623</v>
      </c>
      <c r="C26" s="711" t="s">
        <v>902</v>
      </c>
      <c r="D26" s="626">
        <f>'Estim. Gastos'!$F$35</f>
        <v>0</v>
      </c>
      <c r="E26" s="626"/>
      <c r="F26" s="626">
        <f t="shared" si="6"/>
        <v>0</v>
      </c>
      <c r="G26" s="626">
        <f t="shared" si="7"/>
        <v>0</v>
      </c>
      <c r="H26" s="626">
        <f>G26*(1+'Hipóteses xerais (2)'!$C$42)</f>
        <v>0</v>
      </c>
      <c r="I26" s="626">
        <f>H26*(1+'Hipóteses xerais (2)'!$C$42)</f>
        <v>0</v>
      </c>
      <c r="J26" s="626">
        <f>I26*(1+'Hipóteses xerais (2)'!$C$42)</f>
        <v>0</v>
      </c>
      <c r="K26" s="626">
        <f>J26*(1+'Hipóteses xerais (2)'!$C$42)</f>
        <v>0</v>
      </c>
      <c r="L26" s="626">
        <f>K26*(1+'Hipóteses xerais (2)'!$C$42)</f>
        <v>0</v>
      </c>
      <c r="M26" s="626">
        <f>L26*(1+'Hipóteses xerais (2)'!$C$42)</f>
        <v>0</v>
      </c>
      <c r="N26" s="626">
        <f>M26*(1+'Hipóteses xerais (2)'!$C$42)</f>
        <v>0</v>
      </c>
      <c r="O26" s="626">
        <f>N26*(1+'Hipóteses xerais (2)'!$C$42)</f>
        <v>0</v>
      </c>
      <c r="P26" s="626">
        <f>O26*(1+'Hipóteses xerais (2)'!$C$42)</f>
        <v>0</v>
      </c>
      <c r="Q26" s="626">
        <f>P26*(1+'Hipóteses xerais (2)'!$C$42)</f>
        <v>0</v>
      </c>
      <c r="R26" s="626">
        <f>Q26*(1+'Hipóteses xerais (2)'!$C$42)</f>
        <v>0</v>
      </c>
      <c r="S26" s="626">
        <f>R26*(1+'Hipóteses xerais (2)'!$C$42)</f>
        <v>0</v>
      </c>
      <c r="T26" s="626">
        <f>S26*(1+'Hipóteses xerais (2)'!$C$42)</f>
        <v>0</v>
      </c>
      <c r="U26" s="626">
        <f>T26*(1+'Hipóteses xerais (2)'!$C$42)</f>
        <v>0</v>
      </c>
      <c r="V26" s="626">
        <f>U26*(1+'Hipóteses xerais (2)'!$C$42)</f>
        <v>0</v>
      </c>
      <c r="W26" s="626">
        <f>V26*(1+'Hipóteses xerais (2)'!$C$42)</f>
        <v>0</v>
      </c>
      <c r="X26" s="626">
        <f>W26*(1+'Hipóteses xerais (2)'!$C$42)</f>
        <v>0</v>
      </c>
      <c r="Y26" s="626">
        <f>X26*(1+'Hipóteses xerais (2)'!$C$42)</f>
        <v>0</v>
      </c>
      <c r="Z26" s="626">
        <f>Y26*(1+'Hipóteses xerais (2)'!$C$42)</f>
        <v>0</v>
      </c>
      <c r="AA26" s="626">
        <f>Z26*(1+'Hipóteses xerais (2)'!$C$42)</f>
        <v>0</v>
      </c>
      <c r="AB26" s="626">
        <f>AA26*(1+'Hipóteses xerais (2)'!$C$42)</f>
        <v>0</v>
      </c>
      <c r="AC26" s="626">
        <f>AB26*(1+'Hipóteses xerais (2)'!$C$42)</f>
        <v>0</v>
      </c>
      <c r="AD26" s="626">
        <f>AC26*(1+'Hipóteses xerais (2)'!$C$42)</f>
        <v>0</v>
      </c>
      <c r="AE26" s="710">
        <f t="shared" si="3"/>
        <v>0</v>
      </c>
    </row>
    <row r="27" spans="2:31" x14ac:dyDescent="0.35">
      <c r="B27">
        <v>624</v>
      </c>
      <c r="C27" s="171" t="s">
        <v>392</v>
      </c>
      <c r="D27" s="150">
        <f>'Estim. Gastos'!$F$40</f>
        <v>0</v>
      </c>
      <c r="E27" s="150"/>
      <c r="F27" s="150">
        <f t="shared" si="6"/>
        <v>0</v>
      </c>
      <c r="G27" s="150">
        <f t="shared" si="7"/>
        <v>0</v>
      </c>
      <c r="H27" s="150">
        <f>G27*(1+'Hipóteses xerais (2)'!$C$42)</f>
        <v>0</v>
      </c>
      <c r="I27" s="150">
        <f>H27*(1+'Hipóteses xerais (2)'!$C$42)</f>
        <v>0</v>
      </c>
      <c r="J27" s="150">
        <f>I27*(1+'Hipóteses xerais (2)'!$C$42)</f>
        <v>0</v>
      </c>
      <c r="K27" s="150">
        <f>J27*(1+'Hipóteses xerais (2)'!$C$42)</f>
        <v>0</v>
      </c>
      <c r="L27" s="150">
        <f>K27*(1+'Hipóteses xerais (2)'!$C$42)</f>
        <v>0</v>
      </c>
      <c r="M27" s="150">
        <f>L27*(1+'Hipóteses xerais (2)'!$C$42)</f>
        <v>0</v>
      </c>
      <c r="N27" s="150">
        <f>M27*(1+'Hipóteses xerais (2)'!$C$42)</f>
        <v>0</v>
      </c>
      <c r="O27" s="150">
        <f>N27*(1+'Hipóteses xerais (2)'!$C$42)</f>
        <v>0</v>
      </c>
      <c r="P27" s="150">
        <f>O27*(1+'Hipóteses xerais (2)'!$C$42)</f>
        <v>0</v>
      </c>
      <c r="Q27" s="150">
        <f>P27*(1+'Hipóteses xerais (2)'!$C$42)</f>
        <v>0</v>
      </c>
      <c r="R27" s="150">
        <f>Q27*(1+'Hipóteses xerais (2)'!$C$42)</f>
        <v>0</v>
      </c>
      <c r="S27" s="150">
        <f>R27*(1+'Hipóteses xerais (2)'!$C$42)</f>
        <v>0</v>
      </c>
      <c r="T27" s="150">
        <f>S27*(1+'Hipóteses xerais (2)'!$C$42)</f>
        <v>0</v>
      </c>
      <c r="U27" s="150">
        <f>T27*(1+'Hipóteses xerais (2)'!$C$42)</f>
        <v>0</v>
      </c>
      <c r="V27" s="150">
        <f>U27*(1+'Hipóteses xerais (2)'!$C$42)</f>
        <v>0</v>
      </c>
      <c r="W27" s="150">
        <f>V27*(1+'Hipóteses xerais (2)'!$C$42)</f>
        <v>0</v>
      </c>
      <c r="X27" s="150">
        <f>W27*(1+'Hipóteses xerais (2)'!$C$42)</f>
        <v>0</v>
      </c>
      <c r="Y27" s="150">
        <f>X27*(1+'Hipóteses xerais (2)'!$C$42)</f>
        <v>0</v>
      </c>
      <c r="Z27" s="150">
        <f>Y27*(1+'Hipóteses xerais (2)'!$C$42)</f>
        <v>0</v>
      </c>
      <c r="AA27" s="150">
        <f>Z27*(1+'Hipóteses xerais (2)'!$C$42)</f>
        <v>0</v>
      </c>
      <c r="AB27" s="150">
        <f>AA27*(1+'Hipóteses xerais (2)'!$C$42)</f>
        <v>0</v>
      </c>
      <c r="AC27" s="150">
        <f>AB27*(1+'Hipóteses xerais (2)'!$C$42)</f>
        <v>0</v>
      </c>
      <c r="AD27" s="150">
        <f>AC27*(1+'Hipóteses xerais (2)'!$C$42)</f>
        <v>0</v>
      </c>
      <c r="AE27" s="653">
        <f t="shared" si="3"/>
        <v>0</v>
      </c>
    </row>
    <row r="28" spans="2:31" x14ac:dyDescent="0.35">
      <c r="B28">
        <v>625</v>
      </c>
      <c r="C28" s="171" t="s">
        <v>901</v>
      </c>
      <c r="D28" s="150">
        <f>'Estim. Gastos'!$F$41</f>
        <v>1400</v>
      </c>
      <c r="E28" s="150"/>
      <c r="F28" s="150">
        <f t="shared" si="6"/>
        <v>1400</v>
      </c>
      <c r="G28" s="150">
        <f t="shared" si="7"/>
        <v>1400</v>
      </c>
      <c r="H28" s="150">
        <f>G28*(1+'Hipóteses xerais (2)'!$C$42)</f>
        <v>1444.8</v>
      </c>
      <c r="I28" s="150">
        <f>H28*(1+'Hipóteses xerais (2)'!$C$42)</f>
        <v>1491.0336</v>
      </c>
      <c r="J28" s="150">
        <f>I28*(1+'Hipóteses xerais (2)'!$C$42)</f>
        <v>1538.7466752</v>
      </c>
      <c r="K28" s="150">
        <f>J28*(1+'Hipóteses xerais (2)'!$C$42)</f>
        <v>1587.9865688064001</v>
      </c>
      <c r="L28" s="150">
        <f>K28*(1+'Hipóteses xerais (2)'!$C$42)</f>
        <v>1638.8021390082049</v>
      </c>
      <c r="M28" s="150">
        <f>L28*(1+'Hipóteses xerais (2)'!$C$42)</f>
        <v>1691.2438074564675</v>
      </c>
      <c r="N28" s="150">
        <f>M28*(1+'Hipóteses xerais (2)'!$C$42)</f>
        <v>1745.3636092950744</v>
      </c>
      <c r="O28" s="150">
        <f>N28*(1+'Hipóteses xerais (2)'!$C$42)</f>
        <v>1801.2152447925168</v>
      </c>
      <c r="P28" s="150">
        <f>O28*(1+'Hipóteses xerais (2)'!$C$42)</f>
        <v>1858.8541326258774</v>
      </c>
      <c r="Q28" s="150">
        <f>P28*(1+'Hipóteses xerais (2)'!$C$42)</f>
        <v>1918.3374648699055</v>
      </c>
      <c r="R28" s="150">
        <f>Q28*(1+'Hipóteses xerais (2)'!$C$42)</f>
        <v>1979.7242637457425</v>
      </c>
      <c r="S28" s="150">
        <f>R28*(1+'Hipóteses xerais (2)'!$C$42)</f>
        <v>2043.0754401856063</v>
      </c>
      <c r="T28" s="150">
        <f>S28*(1+'Hipóteses xerais (2)'!$C$42)</f>
        <v>2108.4538542715459</v>
      </c>
      <c r="U28" s="150">
        <f>T28*(1+'Hipóteses xerais (2)'!$C$42)</f>
        <v>2175.9243776082353</v>
      </c>
      <c r="V28" s="150">
        <f>U28*(1+'Hipóteses xerais (2)'!$C$42)</f>
        <v>2245.553957691699</v>
      </c>
      <c r="W28" s="150">
        <f>V28*(1+'Hipóteses xerais (2)'!$C$42)</f>
        <v>2317.4116843378333</v>
      </c>
      <c r="X28" s="150">
        <f>W28*(1+'Hipóteses xerais (2)'!$C$42)</f>
        <v>2391.5688582366442</v>
      </c>
      <c r="Y28" s="150">
        <f>X28*(1+'Hipóteses xerais (2)'!$C$42)</f>
        <v>2468.0990617002171</v>
      </c>
      <c r="Z28" s="150">
        <f>Y28*(1+'Hipóteses xerais (2)'!$C$42)</f>
        <v>2547.078231674624</v>
      </c>
      <c r="AA28" s="150">
        <f>Z28*(1+'Hipóteses xerais (2)'!$C$42)</f>
        <v>2628.5847350882123</v>
      </c>
      <c r="AB28" s="150">
        <f>AA28*(1+'Hipóteses xerais (2)'!$C$42)</f>
        <v>2712.699446611035</v>
      </c>
      <c r="AC28" s="150">
        <f>AB28*(1+'Hipóteses xerais (2)'!$C$42)</f>
        <v>2799.5058289025883</v>
      </c>
      <c r="AD28" s="150">
        <f>AC28*(1+'Hipóteses xerais (2)'!$C$42)</f>
        <v>2889.0900154274714</v>
      </c>
      <c r="AE28" s="653">
        <f t="shared" si="3"/>
        <v>50823.152997535901</v>
      </c>
    </row>
    <row r="29" spans="2:31" x14ac:dyDescent="0.35">
      <c r="B29">
        <v>626</v>
      </c>
      <c r="C29" s="171" t="s">
        <v>900</v>
      </c>
      <c r="D29" s="150">
        <f>'Estim. Gastos'!$F$42</f>
        <v>240</v>
      </c>
      <c r="E29" s="150"/>
      <c r="F29" s="150">
        <f t="shared" si="6"/>
        <v>240</v>
      </c>
      <c r="G29" s="150">
        <f t="shared" si="7"/>
        <v>240</v>
      </c>
      <c r="H29" s="150">
        <f>G29*(1+'Hipóteses xerais (2)'!$C$42)</f>
        <v>247.68</v>
      </c>
      <c r="I29" s="150">
        <f>H29*(1+'Hipóteses xerais (2)'!$C$42)</f>
        <v>255.60576</v>
      </c>
      <c r="J29" s="150">
        <f>I29*(1+'Hipóteses xerais (2)'!$C$42)</f>
        <v>263.78514432000003</v>
      </c>
      <c r="K29" s="150">
        <f>J29*(1+'Hipóteses xerais (2)'!$C$42)</f>
        <v>272.22626893824003</v>
      </c>
      <c r="L29" s="150">
        <f>K29*(1+'Hipóteses xerais (2)'!$C$42)</f>
        <v>280.93750954426372</v>
      </c>
      <c r="M29" s="150">
        <f>L29*(1+'Hipóteses xerais (2)'!$C$42)</f>
        <v>289.92750984968018</v>
      </c>
      <c r="N29" s="150">
        <f>M29*(1+'Hipóteses xerais (2)'!$C$42)</f>
        <v>299.20519016486998</v>
      </c>
      <c r="O29" s="150">
        <f>N29*(1+'Hipóteses xerais (2)'!$C$42)</f>
        <v>308.77975625014585</v>
      </c>
      <c r="P29" s="150">
        <f>O29*(1+'Hipóteses xerais (2)'!$C$42)</f>
        <v>318.66070845015054</v>
      </c>
      <c r="Q29" s="150">
        <f>P29*(1+'Hipóteses xerais (2)'!$C$42)</f>
        <v>328.85785112055538</v>
      </c>
      <c r="R29" s="150">
        <f>Q29*(1+'Hipóteses xerais (2)'!$C$42)</f>
        <v>339.38130235641319</v>
      </c>
      <c r="S29" s="150">
        <f>R29*(1+'Hipóteses xerais (2)'!$C$42)</f>
        <v>350.24150403181841</v>
      </c>
      <c r="T29" s="150">
        <f>S29*(1+'Hipóteses xerais (2)'!$C$42)</f>
        <v>361.44923216083663</v>
      </c>
      <c r="U29" s="150">
        <f>T29*(1+'Hipóteses xerais (2)'!$C$42)</f>
        <v>373.0156075899834</v>
      </c>
      <c r="V29" s="150">
        <f>U29*(1+'Hipóteses xerais (2)'!$C$42)</f>
        <v>384.9521070328629</v>
      </c>
      <c r="W29" s="150">
        <f>V29*(1+'Hipóteses xerais (2)'!$C$42)</f>
        <v>397.27057445791451</v>
      </c>
      <c r="X29" s="150">
        <f>W29*(1+'Hipóteses xerais (2)'!$C$42)</f>
        <v>409.98323284056778</v>
      </c>
      <c r="Y29" s="150">
        <f>X29*(1+'Hipóteses xerais (2)'!$C$42)</f>
        <v>423.10269629146597</v>
      </c>
      <c r="Z29" s="150">
        <f>Y29*(1+'Hipóteses xerais (2)'!$C$42)</f>
        <v>436.64198257279287</v>
      </c>
      <c r="AA29" s="150">
        <f>Z29*(1+'Hipóteses xerais (2)'!$C$42)</f>
        <v>450.61452601512224</v>
      </c>
      <c r="AB29" s="150">
        <f>AA29*(1+'Hipóteses xerais (2)'!$C$42)</f>
        <v>465.03419084760617</v>
      </c>
      <c r="AC29" s="150">
        <f>AB29*(1+'Hipóteses xerais (2)'!$C$42)</f>
        <v>479.9152849547296</v>
      </c>
      <c r="AD29" s="150">
        <f>AC29*(1+'Hipóteses xerais (2)'!$C$42)</f>
        <v>495.27257407328096</v>
      </c>
      <c r="AE29" s="653">
        <f t="shared" si="3"/>
        <v>8712.5405138632996</v>
      </c>
    </row>
    <row r="30" spans="2:31" x14ac:dyDescent="0.35">
      <c r="B30">
        <v>627</v>
      </c>
      <c r="C30" s="171" t="s">
        <v>401</v>
      </c>
      <c r="D30" s="150">
        <f>'Estim. Gastos'!$F$43</f>
        <v>0</v>
      </c>
      <c r="E30" s="150"/>
      <c r="F30" s="150">
        <f t="shared" si="6"/>
        <v>0</v>
      </c>
      <c r="G30" s="150">
        <f t="shared" si="7"/>
        <v>0</v>
      </c>
      <c r="H30" s="150">
        <f>G30*(1+'Hipóteses xerais (2)'!$C$42)</f>
        <v>0</v>
      </c>
      <c r="I30" s="150">
        <f>H30*(1+'Hipóteses xerais (2)'!$C$42)</f>
        <v>0</v>
      </c>
      <c r="J30" s="150">
        <f>I30*(1+'Hipóteses xerais (2)'!$C$42)</f>
        <v>0</v>
      </c>
      <c r="K30" s="150">
        <f>J30*(1+'Hipóteses xerais (2)'!$C$42)</f>
        <v>0</v>
      </c>
      <c r="L30" s="150">
        <f>K30*(1+'Hipóteses xerais (2)'!$C$42)</f>
        <v>0</v>
      </c>
      <c r="M30" s="150">
        <f>L30*(1+'Hipóteses xerais (2)'!$C$42)</f>
        <v>0</v>
      </c>
      <c r="N30" s="150">
        <f>M30*(1+'Hipóteses xerais (2)'!$C$42)</f>
        <v>0</v>
      </c>
      <c r="O30" s="150">
        <f>N30*(1+'Hipóteses xerais (2)'!$C$42)</f>
        <v>0</v>
      </c>
      <c r="P30" s="150">
        <f>O30*(1+'Hipóteses xerais (2)'!$C$42)</f>
        <v>0</v>
      </c>
      <c r="Q30" s="150">
        <f>P30*(1+'Hipóteses xerais (2)'!$C$42)</f>
        <v>0</v>
      </c>
      <c r="R30" s="150">
        <f>Q30*(1+'Hipóteses xerais (2)'!$C$42)</f>
        <v>0</v>
      </c>
      <c r="S30" s="150">
        <f>R30*(1+'Hipóteses xerais (2)'!$C$42)</f>
        <v>0</v>
      </c>
      <c r="T30" s="150">
        <f>S30*(1+'Hipóteses xerais (2)'!$C$42)</f>
        <v>0</v>
      </c>
      <c r="U30" s="150">
        <f>T30*(1+'Hipóteses xerais (2)'!$C$42)</f>
        <v>0</v>
      </c>
      <c r="V30" s="150">
        <f>U30*(1+'Hipóteses xerais (2)'!$C$42)</f>
        <v>0</v>
      </c>
      <c r="W30" s="150">
        <f>V30*(1+'Hipóteses xerais (2)'!$C$42)</f>
        <v>0</v>
      </c>
      <c r="X30" s="150">
        <f>W30*(1+'Hipóteses xerais (2)'!$C$42)</f>
        <v>0</v>
      </c>
      <c r="Y30" s="150">
        <f>X30*(1+'Hipóteses xerais (2)'!$C$42)</f>
        <v>0</v>
      </c>
      <c r="Z30" s="150">
        <f>Y30*(1+'Hipóteses xerais (2)'!$C$42)</f>
        <v>0</v>
      </c>
      <c r="AA30" s="150">
        <f>Z30*(1+'Hipóteses xerais (2)'!$C$42)</f>
        <v>0</v>
      </c>
      <c r="AB30" s="150">
        <f>AA30*(1+'Hipóteses xerais (2)'!$C$42)</f>
        <v>0</v>
      </c>
      <c r="AC30" s="150">
        <f>AB30*(1+'Hipóteses xerais (2)'!$C$42)</f>
        <v>0</v>
      </c>
      <c r="AD30" s="150">
        <f>AC30*(1+'Hipóteses xerais (2)'!$C$42)</f>
        <v>0</v>
      </c>
      <c r="AE30" s="653">
        <f t="shared" si="3"/>
        <v>0</v>
      </c>
    </row>
    <row r="31" spans="2:31" x14ac:dyDescent="0.35">
      <c r="B31">
        <v>628</v>
      </c>
      <c r="C31" s="171" t="s">
        <v>413</v>
      </c>
      <c r="D31" s="150">
        <f>'Estim. Gastos'!$F$47</f>
        <v>360</v>
      </c>
      <c r="E31" s="150"/>
      <c r="F31" s="150">
        <f t="shared" si="6"/>
        <v>360</v>
      </c>
      <c r="G31" s="150">
        <f t="shared" si="7"/>
        <v>360</v>
      </c>
      <c r="H31" s="150">
        <f>G31*(1+'Hipóteses xerais (2)'!$C$42)</f>
        <v>371.52</v>
      </c>
      <c r="I31" s="150">
        <f>H31*(1+'Hipóteses xerais (2)'!$C$42)</f>
        <v>383.40863999999999</v>
      </c>
      <c r="J31" s="150">
        <f>I31*(1+'Hipóteses xerais (2)'!$C$42)</f>
        <v>395.67771648000002</v>
      </c>
      <c r="K31" s="150">
        <f>J31*(1+'Hipóteses xerais (2)'!$C$42)</f>
        <v>408.33940340736001</v>
      </c>
      <c r="L31" s="150">
        <f>K31*(1+'Hipóteses xerais (2)'!$C$42)</f>
        <v>421.40626431639555</v>
      </c>
      <c r="M31" s="150">
        <f>L31*(1+'Hipóteses xerais (2)'!$C$42)</f>
        <v>434.89126477452021</v>
      </c>
      <c r="N31" s="150">
        <f>M31*(1+'Hipóteses xerais (2)'!$C$42)</f>
        <v>448.80778524730488</v>
      </c>
      <c r="O31" s="150">
        <f>N31*(1+'Hipóteses xerais (2)'!$C$42)</f>
        <v>463.16963437521866</v>
      </c>
      <c r="P31" s="150">
        <f>O31*(1+'Hipóteses xerais (2)'!$C$42)</f>
        <v>477.99106267522569</v>
      </c>
      <c r="Q31" s="150">
        <f>P31*(1+'Hipóteses xerais (2)'!$C$42)</f>
        <v>493.28677668083293</v>
      </c>
      <c r="R31" s="150">
        <f>Q31*(1+'Hipóteses xerais (2)'!$C$42)</f>
        <v>509.07195353461958</v>
      </c>
      <c r="S31" s="150">
        <f>R31*(1+'Hipóteses xerais (2)'!$C$42)</f>
        <v>525.36225604772744</v>
      </c>
      <c r="T31" s="150">
        <f>S31*(1+'Hipóteses xerais (2)'!$C$42)</f>
        <v>542.17384824125475</v>
      </c>
      <c r="U31" s="150">
        <f>T31*(1+'Hipóteses xerais (2)'!$C$42)</f>
        <v>559.52341138497491</v>
      </c>
      <c r="V31" s="150">
        <f>U31*(1+'Hipóteses xerais (2)'!$C$42)</f>
        <v>577.42816054929415</v>
      </c>
      <c r="W31" s="150">
        <f>V31*(1+'Hipóteses xerais (2)'!$C$42)</f>
        <v>595.90586168687162</v>
      </c>
      <c r="X31" s="150">
        <f>W31*(1+'Hipóteses xerais (2)'!$C$42)</f>
        <v>614.97484926085156</v>
      </c>
      <c r="Y31" s="150">
        <f>X31*(1+'Hipóteses xerais (2)'!$C$42)</f>
        <v>634.65404443719888</v>
      </c>
      <c r="Z31" s="150">
        <f>Y31*(1+'Hipóteses xerais (2)'!$C$42)</f>
        <v>654.96297385918922</v>
      </c>
      <c r="AA31" s="150">
        <f>Z31*(1+'Hipóteses xerais (2)'!$C$42)</f>
        <v>675.92178902268324</v>
      </c>
      <c r="AB31" s="150">
        <f>AA31*(1+'Hipóteses xerais (2)'!$C$42)</f>
        <v>697.55128627140914</v>
      </c>
      <c r="AC31" s="150">
        <f>AB31*(1+'Hipóteses xerais (2)'!$C$42)</f>
        <v>719.87292743209423</v>
      </c>
      <c r="AD31" s="150">
        <f>AC31*(1+'Hipóteses xerais (2)'!$C$42)</f>
        <v>742.9088611099213</v>
      </c>
      <c r="AE31" s="653">
        <f t="shared" si="3"/>
        <v>13068.810770794948</v>
      </c>
    </row>
    <row r="32" spans="2:31" x14ac:dyDescent="0.35">
      <c r="B32">
        <v>629</v>
      </c>
      <c r="C32" s="171" t="s">
        <v>899</v>
      </c>
      <c r="D32" s="150">
        <f>'Estim. Gastos'!$F$53</f>
        <v>450</v>
      </c>
      <c r="F32" s="150">
        <f t="shared" si="6"/>
        <v>450</v>
      </c>
      <c r="G32" s="150">
        <f t="shared" si="7"/>
        <v>450</v>
      </c>
      <c r="H32" s="150">
        <f>G32*(1+'Hipóteses xerais (2)'!$C$42)</f>
        <v>464.40000000000003</v>
      </c>
      <c r="I32" s="150">
        <f>H32*(1+'Hipóteses xerais (2)'!$C$42)</f>
        <v>479.26080000000007</v>
      </c>
      <c r="J32" s="150">
        <f>I32*(1+'Hipóteses xerais (2)'!$C$42)</f>
        <v>494.59714560000009</v>
      </c>
      <c r="K32" s="150">
        <f>J32*(1+'Hipóteses xerais (2)'!$C$42)</f>
        <v>510.4242542592001</v>
      </c>
      <c r="L32" s="150">
        <f>K32*(1+'Hipóteses xerais (2)'!$C$42)</f>
        <v>526.75783039549447</v>
      </c>
      <c r="M32" s="150">
        <f>L32*(1+'Hipóteses xerais (2)'!$C$42)</f>
        <v>543.61408096815035</v>
      </c>
      <c r="N32" s="150">
        <f>M32*(1+'Hipóteses xerais (2)'!$C$42)</f>
        <v>561.00973155913118</v>
      </c>
      <c r="O32" s="150">
        <f>N32*(1+'Hipóteses xerais (2)'!$C$42)</f>
        <v>578.9620429690234</v>
      </c>
      <c r="P32" s="150">
        <f>O32*(1+'Hipóteses xerais (2)'!$C$42)</f>
        <v>597.48882834403219</v>
      </c>
      <c r="Q32" s="150">
        <f>P32*(1+'Hipóteses xerais (2)'!$C$42)</f>
        <v>616.60847085104126</v>
      </c>
      <c r="R32" s="150">
        <f>Q32*(1+'Hipóteses xerais (2)'!$C$42)</f>
        <v>636.33994191827458</v>
      </c>
      <c r="S32" s="150">
        <f>R32*(1+'Hipóteses xerais (2)'!$C$42)</f>
        <v>656.70282005965942</v>
      </c>
      <c r="T32" s="150">
        <f>S32*(1+'Hipóteses xerais (2)'!$C$42)</f>
        <v>677.71731030156855</v>
      </c>
      <c r="U32" s="150">
        <f>T32*(1+'Hipóteses xerais (2)'!$C$42)</f>
        <v>699.4042642312188</v>
      </c>
      <c r="V32" s="150">
        <f>U32*(1+'Hipóteses xerais (2)'!$C$42)</f>
        <v>721.78520068661783</v>
      </c>
      <c r="W32" s="150">
        <f>V32*(1+'Hipóteses xerais (2)'!$C$42)</f>
        <v>744.88232710858961</v>
      </c>
      <c r="X32" s="150">
        <f>W32*(1+'Hipóteses xerais (2)'!$C$42)</f>
        <v>768.71856157606453</v>
      </c>
      <c r="Y32" s="150">
        <f>X32*(1+'Hipóteses xerais (2)'!$C$42)</f>
        <v>793.31755554649862</v>
      </c>
      <c r="Z32" s="150">
        <f>Y32*(1+'Hipóteses xerais (2)'!$C$42)</f>
        <v>818.70371732398655</v>
      </c>
      <c r="AA32" s="150">
        <f>Z32*(1+'Hipóteses xerais (2)'!$C$42)</f>
        <v>844.90223627835417</v>
      </c>
      <c r="AB32" s="150">
        <f>AA32*(1+'Hipóteses xerais (2)'!$C$42)</f>
        <v>871.93910783926151</v>
      </c>
      <c r="AC32" s="150">
        <f>AB32*(1+'Hipóteses xerais (2)'!$C$42)</f>
        <v>899.84115929011796</v>
      </c>
      <c r="AD32" s="150">
        <f>AC32*(1+'Hipóteses xerais (2)'!$C$42)</f>
        <v>928.63607638740177</v>
      </c>
      <c r="AE32" s="653">
        <f t="shared" si="3"/>
        <v>16336.013463493686</v>
      </c>
    </row>
    <row r="33" spans="1:31" s="13" customFormat="1" x14ac:dyDescent="0.35">
      <c r="B33" s="13">
        <v>62</v>
      </c>
      <c r="C33" s="696" t="s">
        <v>898</v>
      </c>
      <c r="D33" s="179">
        <f t="shared" ref="D33:AD33" si="8">SUM(D24:D32)</f>
        <v>3530</v>
      </c>
      <c r="E33" s="179">
        <f t="shared" si="8"/>
        <v>0</v>
      </c>
      <c r="F33" s="179">
        <f t="shared" si="8"/>
        <v>3530</v>
      </c>
      <c r="G33" s="179">
        <f t="shared" si="8"/>
        <v>3530</v>
      </c>
      <c r="H33" s="179">
        <f t="shared" si="8"/>
        <v>3642.9599999999996</v>
      </c>
      <c r="I33" s="179">
        <f t="shared" si="8"/>
        <v>3759.5347200000001</v>
      </c>
      <c r="J33" s="179">
        <f t="shared" si="8"/>
        <v>3879.8398310400007</v>
      </c>
      <c r="K33" s="179">
        <f t="shared" si="8"/>
        <v>4003.9947056332803</v>
      </c>
      <c r="L33" s="179">
        <f t="shared" si="8"/>
        <v>4132.1225362135456</v>
      </c>
      <c r="M33" s="179">
        <f t="shared" si="8"/>
        <v>4264.3504573723785</v>
      </c>
      <c r="N33" s="179">
        <f t="shared" si="8"/>
        <v>4400.8096720082958</v>
      </c>
      <c r="O33" s="179">
        <f t="shared" si="8"/>
        <v>4541.6355815125607</v>
      </c>
      <c r="P33" s="179">
        <f t="shared" si="8"/>
        <v>4686.9679201209628</v>
      </c>
      <c r="Q33" s="179">
        <f t="shared" si="8"/>
        <v>4836.9508935648346</v>
      </c>
      <c r="R33" s="179">
        <f t="shared" si="8"/>
        <v>4991.7333221589088</v>
      </c>
      <c r="S33" s="179">
        <f t="shared" si="8"/>
        <v>5151.4687884679952</v>
      </c>
      <c r="T33" s="179">
        <f t="shared" si="8"/>
        <v>5316.3157896989705</v>
      </c>
      <c r="U33" s="179">
        <f t="shared" si="8"/>
        <v>5486.4378949693373</v>
      </c>
      <c r="V33" s="179">
        <f t="shared" si="8"/>
        <v>5662.0039076083567</v>
      </c>
      <c r="W33" s="179">
        <f t="shared" si="8"/>
        <v>5843.188032651824</v>
      </c>
      <c r="X33" s="179">
        <f t="shared" si="8"/>
        <v>6030.1700496966832</v>
      </c>
      <c r="Y33" s="179">
        <f t="shared" si="8"/>
        <v>6223.1354912869765</v>
      </c>
      <c r="Z33" s="179">
        <f t="shared" si="8"/>
        <v>6422.2758270081604</v>
      </c>
      <c r="AA33" s="179">
        <f t="shared" si="8"/>
        <v>6627.7886534724221</v>
      </c>
      <c r="AB33" s="179">
        <f t="shared" si="8"/>
        <v>6839.8778903835391</v>
      </c>
      <c r="AC33" s="179">
        <f t="shared" si="8"/>
        <v>7058.7539828758127</v>
      </c>
      <c r="AD33" s="179">
        <f t="shared" si="8"/>
        <v>7284.6341103278401</v>
      </c>
      <c r="AE33" s="704">
        <f t="shared" si="3"/>
        <v>128146.95005807269</v>
      </c>
    </row>
    <row r="34" spans="1:31" hidden="1" x14ac:dyDescent="0.35">
      <c r="C34" s="709"/>
      <c r="D34" s="150"/>
      <c r="E34" s="150"/>
      <c r="F34" s="150"/>
      <c r="G34" s="150"/>
      <c r="H34" s="150"/>
      <c r="I34" s="150"/>
      <c r="J34" s="150"/>
      <c r="K34" s="150"/>
      <c r="L34" s="150"/>
      <c r="M34" s="150"/>
      <c r="N34" s="150"/>
      <c r="O34" s="150"/>
      <c r="P34" s="150"/>
      <c r="Q34" s="150"/>
      <c r="R34" s="150"/>
      <c r="S34" s="150"/>
      <c r="T34" s="150"/>
      <c r="U34" s="150"/>
      <c r="V34" s="150"/>
      <c r="W34" s="150"/>
      <c r="X34" s="150"/>
      <c r="Y34" s="150"/>
      <c r="Z34" s="150"/>
      <c r="AA34" s="150"/>
      <c r="AB34" s="150"/>
      <c r="AC34" s="150"/>
      <c r="AD34" s="150"/>
      <c r="AE34" s="653">
        <f t="shared" si="3"/>
        <v>0</v>
      </c>
    </row>
    <row r="35" spans="1:31" hidden="1" x14ac:dyDescent="0.35">
      <c r="C35" s="696" t="s">
        <v>897</v>
      </c>
      <c r="D35" s="150">
        <f>D34</f>
        <v>0</v>
      </c>
      <c r="E35" s="150">
        <f>SUM(E34)</f>
        <v>0</v>
      </c>
      <c r="F35" s="150" t="e">
        <f>#REF!</f>
        <v>#REF!</v>
      </c>
      <c r="G35" s="150" t="e">
        <f>F35</f>
        <v>#REF!</v>
      </c>
      <c r="H35" s="150">
        <f t="shared" ref="H35:AD35" si="9">H34</f>
        <v>0</v>
      </c>
      <c r="I35" s="150">
        <f t="shared" si="9"/>
        <v>0</v>
      </c>
      <c r="J35" s="150">
        <f t="shared" si="9"/>
        <v>0</v>
      </c>
      <c r="K35" s="150">
        <f t="shared" si="9"/>
        <v>0</v>
      </c>
      <c r="L35" s="150">
        <f t="shared" si="9"/>
        <v>0</v>
      </c>
      <c r="M35" s="150">
        <f t="shared" si="9"/>
        <v>0</v>
      </c>
      <c r="N35" s="150">
        <f t="shared" si="9"/>
        <v>0</v>
      </c>
      <c r="O35" s="150">
        <f t="shared" si="9"/>
        <v>0</v>
      </c>
      <c r="P35" s="150">
        <f t="shared" si="9"/>
        <v>0</v>
      </c>
      <c r="Q35" s="150">
        <f t="shared" si="9"/>
        <v>0</v>
      </c>
      <c r="R35" s="150">
        <f t="shared" si="9"/>
        <v>0</v>
      </c>
      <c r="S35" s="150">
        <f t="shared" si="9"/>
        <v>0</v>
      </c>
      <c r="T35" s="150">
        <f t="shared" si="9"/>
        <v>0</v>
      </c>
      <c r="U35" s="150">
        <f t="shared" si="9"/>
        <v>0</v>
      </c>
      <c r="V35" s="150">
        <f t="shared" si="9"/>
        <v>0</v>
      </c>
      <c r="W35" s="150">
        <f t="shared" si="9"/>
        <v>0</v>
      </c>
      <c r="X35" s="150">
        <f t="shared" si="9"/>
        <v>0</v>
      </c>
      <c r="Y35" s="150">
        <f t="shared" si="9"/>
        <v>0</v>
      </c>
      <c r="Z35" s="150">
        <f t="shared" si="9"/>
        <v>0</v>
      </c>
      <c r="AA35" s="150">
        <f t="shared" si="9"/>
        <v>0</v>
      </c>
      <c r="AB35" s="150">
        <f t="shared" si="9"/>
        <v>0</v>
      </c>
      <c r="AC35" s="150">
        <f t="shared" si="9"/>
        <v>0</v>
      </c>
      <c r="AD35" s="150">
        <f t="shared" si="9"/>
        <v>0</v>
      </c>
      <c r="AE35" s="653" t="e">
        <f t="shared" si="3"/>
        <v>#REF!</v>
      </c>
    </row>
    <row r="36" spans="1:31" hidden="1" x14ac:dyDescent="0.35">
      <c r="C36" s="171"/>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653">
        <f t="shared" si="3"/>
        <v>0</v>
      </c>
    </row>
    <row r="37" spans="1:31" s="705" customFormat="1" hidden="1" x14ac:dyDescent="0.35">
      <c r="C37" s="708" t="s">
        <v>896</v>
      </c>
      <c r="D37" s="707">
        <f>SUM(D36)</f>
        <v>0</v>
      </c>
      <c r="E37" s="707">
        <f>SUM(E36)</f>
        <v>0</v>
      </c>
      <c r="F37" s="707">
        <f>SUM(F36)</f>
        <v>0</v>
      </c>
      <c r="G37" s="707">
        <f>SUM(G36)</f>
        <v>0</v>
      </c>
      <c r="H37" s="150">
        <f t="shared" ref="H37:AD37" si="10">H36</f>
        <v>0</v>
      </c>
      <c r="I37" s="150">
        <f t="shared" si="10"/>
        <v>0</v>
      </c>
      <c r="J37" s="150">
        <f t="shared" si="10"/>
        <v>0</v>
      </c>
      <c r="K37" s="150">
        <f t="shared" si="10"/>
        <v>0</v>
      </c>
      <c r="L37" s="150">
        <f t="shared" si="10"/>
        <v>0</v>
      </c>
      <c r="M37" s="150">
        <f t="shared" si="10"/>
        <v>0</v>
      </c>
      <c r="N37" s="150">
        <f t="shared" si="10"/>
        <v>0</v>
      </c>
      <c r="O37" s="150">
        <f t="shared" si="10"/>
        <v>0</v>
      </c>
      <c r="P37" s="150">
        <f t="shared" si="10"/>
        <v>0</v>
      </c>
      <c r="Q37" s="150">
        <f t="shared" si="10"/>
        <v>0</v>
      </c>
      <c r="R37" s="150">
        <f t="shared" si="10"/>
        <v>0</v>
      </c>
      <c r="S37" s="150">
        <f t="shared" si="10"/>
        <v>0</v>
      </c>
      <c r="T37" s="150">
        <f t="shared" si="10"/>
        <v>0</v>
      </c>
      <c r="U37" s="150">
        <f t="shared" si="10"/>
        <v>0</v>
      </c>
      <c r="V37" s="150">
        <f t="shared" si="10"/>
        <v>0</v>
      </c>
      <c r="W37" s="150">
        <f t="shared" si="10"/>
        <v>0</v>
      </c>
      <c r="X37" s="150">
        <f t="shared" si="10"/>
        <v>0</v>
      </c>
      <c r="Y37" s="150">
        <f t="shared" si="10"/>
        <v>0</v>
      </c>
      <c r="Z37" s="150">
        <f t="shared" si="10"/>
        <v>0</v>
      </c>
      <c r="AA37" s="150">
        <f t="shared" si="10"/>
        <v>0</v>
      </c>
      <c r="AB37" s="150">
        <f t="shared" si="10"/>
        <v>0</v>
      </c>
      <c r="AC37" s="150">
        <f t="shared" si="10"/>
        <v>0</v>
      </c>
      <c r="AD37" s="150">
        <f t="shared" si="10"/>
        <v>0</v>
      </c>
      <c r="AE37" s="706">
        <f t="shared" si="3"/>
        <v>0</v>
      </c>
    </row>
    <row r="38" spans="1:31" x14ac:dyDescent="0.35">
      <c r="B38">
        <v>631</v>
      </c>
      <c r="C38" s="171" t="s">
        <v>895</v>
      </c>
      <c r="D38" s="150">
        <f>'Estim. Gastos'!$H$72</f>
        <v>10.47</v>
      </c>
      <c r="F38" s="150">
        <f>D38</f>
        <v>10.47</v>
      </c>
      <c r="AE38" s="653">
        <f t="shared" si="3"/>
        <v>10.47</v>
      </c>
    </row>
    <row r="39" spans="1:31" x14ac:dyDescent="0.35">
      <c r="B39">
        <v>659</v>
      </c>
      <c r="C39" s="171" t="s">
        <v>565</v>
      </c>
      <c r="D39" s="150">
        <f>'Estim. Gastos'!$F$75</f>
        <v>50</v>
      </c>
      <c r="F39" s="150">
        <f>D39</f>
        <v>50</v>
      </c>
      <c r="G39" s="150">
        <f>F39</f>
        <v>50</v>
      </c>
      <c r="H39" s="150">
        <f>G39*(1+'Hipóteses xerais (2)'!$C$42)</f>
        <v>51.6</v>
      </c>
      <c r="I39" s="150">
        <f>H39*(1+'Hipóteses xerais (2)'!$C$42)</f>
        <v>53.251200000000004</v>
      </c>
      <c r="J39" s="150">
        <f>I39*(1+'Hipóteses xerais (2)'!$C$42)</f>
        <v>54.955238400000006</v>
      </c>
      <c r="K39" s="150">
        <f>J39*(1+'Hipóteses xerais (2)'!$C$42)</f>
        <v>56.713806028800008</v>
      </c>
      <c r="L39" s="150">
        <f>K39*(1+'Hipóteses xerais (2)'!$C$42)</f>
        <v>58.528647821721613</v>
      </c>
      <c r="M39" s="150">
        <f>L39*(1+'Hipóteses xerais (2)'!$C$42)</f>
        <v>60.401564552016708</v>
      </c>
      <c r="N39" s="150">
        <f>M39*(1+'Hipóteses xerais (2)'!$C$42)</f>
        <v>62.334414617681247</v>
      </c>
      <c r="O39" s="150">
        <f>N39*(1+'Hipóteses xerais (2)'!$C$42)</f>
        <v>64.329115885447052</v>
      </c>
      <c r="P39" s="150">
        <f>O39*(1+'Hipóteses xerais (2)'!$C$42)</f>
        <v>66.387647593781367</v>
      </c>
      <c r="Q39" s="150">
        <f>P39*(1+'Hipóteses xerais (2)'!$C$42)</f>
        <v>68.512052316782373</v>
      </c>
      <c r="R39" s="150">
        <f>Q39*(1+'Hipóteses xerais (2)'!$C$42)</f>
        <v>70.704437990919416</v>
      </c>
      <c r="S39" s="150">
        <f>R39*(1+'Hipóteses xerais (2)'!$C$42)</f>
        <v>72.966980006628845</v>
      </c>
      <c r="T39" s="150">
        <f>S39*(1+'Hipóteses xerais (2)'!$C$42)</f>
        <v>75.301923366840967</v>
      </c>
      <c r="U39" s="150">
        <f>T39*(1+'Hipóteses xerais (2)'!$C$42)</f>
        <v>77.711584914579873</v>
      </c>
      <c r="V39" s="150">
        <f>U39*(1+'Hipóteses xerais (2)'!$C$42)</f>
        <v>80.198355631846425</v>
      </c>
      <c r="W39" s="150">
        <f>V39*(1+'Hipóteses xerais (2)'!$C$42)</f>
        <v>82.76470301206551</v>
      </c>
      <c r="X39" s="150">
        <f>W39*(1+'Hipóteses xerais (2)'!$C$42)</f>
        <v>85.413173508451607</v>
      </c>
      <c r="Y39" s="150">
        <f>X39*(1+'Hipóteses xerais (2)'!$C$42)</f>
        <v>88.146395060722057</v>
      </c>
      <c r="Z39" s="150">
        <f>Y39*(1+'Hipóteses xerais (2)'!$C$42)</f>
        <v>90.96707970266516</v>
      </c>
      <c r="AA39" s="150">
        <f>Z39*(1+'Hipóteses xerais (2)'!$C$42)</f>
        <v>93.878026253150452</v>
      </c>
      <c r="AB39" s="150">
        <f>AA39*(1+'Hipóteses xerais (2)'!$C$42)</f>
        <v>96.882123093251266</v>
      </c>
      <c r="AC39" s="150">
        <f>AB39*(1+'Hipóteses xerais (2)'!$C$42)</f>
        <v>99.982351032235314</v>
      </c>
      <c r="AD39" s="150">
        <f>AC39*(1+'Hipóteses xerais (2)'!$C$42)</f>
        <v>103.18178626526685</v>
      </c>
      <c r="AE39" s="653">
        <f t="shared" si="3"/>
        <v>1815.1126070548539</v>
      </c>
    </row>
    <row r="40" spans="1:31" s="13" customFormat="1" x14ac:dyDescent="0.35">
      <c r="C40" s="696" t="s">
        <v>894</v>
      </c>
      <c r="D40" s="179">
        <f t="shared" ref="D40:AD40" si="11">D19+D23+D33+D38+D39</f>
        <v>3590.47</v>
      </c>
      <c r="E40" s="179">
        <f t="shared" si="11"/>
        <v>0</v>
      </c>
      <c r="F40" s="179">
        <f t="shared" si="11"/>
        <v>3590.47</v>
      </c>
      <c r="G40" s="179">
        <f t="shared" si="11"/>
        <v>3580</v>
      </c>
      <c r="H40" s="179">
        <f t="shared" si="11"/>
        <v>3694.5599999999995</v>
      </c>
      <c r="I40" s="179">
        <f t="shared" si="11"/>
        <v>3812.7859200000003</v>
      </c>
      <c r="J40" s="179">
        <f t="shared" si="11"/>
        <v>3934.7950694400006</v>
      </c>
      <c r="K40" s="179">
        <f t="shared" si="11"/>
        <v>4060.7085116620801</v>
      </c>
      <c r="L40" s="179">
        <f t="shared" si="11"/>
        <v>4190.6511840352669</v>
      </c>
      <c r="M40" s="179">
        <f t="shared" si="11"/>
        <v>4324.7520219243952</v>
      </c>
      <c r="N40" s="179">
        <f t="shared" si="11"/>
        <v>4463.1440866259773</v>
      </c>
      <c r="O40" s="179">
        <f t="shared" si="11"/>
        <v>4605.964697398008</v>
      </c>
      <c r="P40" s="179">
        <f t="shared" si="11"/>
        <v>4753.3555677147442</v>
      </c>
      <c r="Q40" s="179">
        <f t="shared" si="11"/>
        <v>4905.4629458816171</v>
      </c>
      <c r="R40" s="179">
        <f t="shared" si="11"/>
        <v>5062.4377601498281</v>
      </c>
      <c r="S40" s="179">
        <f t="shared" si="11"/>
        <v>5224.4357684746237</v>
      </c>
      <c r="T40" s="179">
        <f t="shared" si="11"/>
        <v>5391.6177130658116</v>
      </c>
      <c r="U40" s="179">
        <f t="shared" si="11"/>
        <v>5564.1494798839176</v>
      </c>
      <c r="V40" s="179">
        <f t="shared" si="11"/>
        <v>5742.2022632402031</v>
      </c>
      <c r="W40" s="179">
        <f t="shared" si="11"/>
        <v>5925.9527356638891</v>
      </c>
      <c r="X40" s="179">
        <f t="shared" si="11"/>
        <v>6115.5832232051353</v>
      </c>
      <c r="Y40" s="179">
        <f t="shared" si="11"/>
        <v>6311.2818863476987</v>
      </c>
      <c r="Z40" s="179">
        <f t="shared" si="11"/>
        <v>6513.242906710826</v>
      </c>
      <c r="AA40" s="179">
        <f t="shared" si="11"/>
        <v>6721.666679725573</v>
      </c>
      <c r="AB40" s="179">
        <f t="shared" si="11"/>
        <v>6936.7600134767908</v>
      </c>
      <c r="AC40" s="179">
        <f t="shared" si="11"/>
        <v>7158.7363339080475</v>
      </c>
      <c r="AD40" s="179">
        <f t="shared" si="11"/>
        <v>7387.815896593107</v>
      </c>
      <c r="AE40" s="704">
        <f t="shared" si="3"/>
        <v>129972.53266512754</v>
      </c>
    </row>
    <row r="41" spans="1:31" ht="15" thickBot="1" x14ac:dyDescent="0.4">
      <c r="C41" s="534"/>
      <c r="AE41" s="653">
        <f t="shared" si="3"/>
        <v>0</v>
      </c>
    </row>
    <row r="42" spans="1:31" s="64" customFormat="1" ht="30" thickTop="1" thickBot="1" x14ac:dyDescent="0.4">
      <c r="C42" s="703" t="s">
        <v>893</v>
      </c>
      <c r="D42" s="702">
        <f>D$15-D$40</f>
        <v>7259</v>
      </c>
      <c r="E42" s="702">
        <f>E13-E40</f>
        <v>0</v>
      </c>
      <c r="F42" s="702">
        <f t="shared" ref="F42:AD42" si="12">F$15-F$40</f>
        <v>7259</v>
      </c>
      <c r="G42" s="702">
        <f t="shared" si="12"/>
        <v>7466.6689999999999</v>
      </c>
      <c r="H42" s="702">
        <f t="shared" si="12"/>
        <v>7680.7757389999988</v>
      </c>
      <c r="I42" s="702">
        <f t="shared" si="12"/>
        <v>7901.5197869089989</v>
      </c>
      <c r="J42" s="702">
        <f t="shared" si="12"/>
        <v>8129.1069003031771</v>
      </c>
      <c r="K42" s="702">
        <f t="shared" si="12"/>
        <v>8363.7492142125739</v>
      </c>
      <c r="L42" s="702">
        <f t="shared" si="12"/>
        <v>8605.6654398531628</v>
      </c>
      <c r="M42" s="702">
        <f t="shared" si="12"/>
        <v>8855.0810684886092</v>
      </c>
      <c r="N42" s="702">
        <f t="shared" si="12"/>
        <v>9112.2285816117546</v>
      </c>
      <c r="O42" s="702">
        <f t="shared" si="12"/>
        <v>9377.3476676417195</v>
      </c>
      <c r="P42" s="702">
        <f t="shared" si="12"/>
        <v>9650.6854453386113</v>
      </c>
      <c r="Q42" s="702">
        <f t="shared" si="12"/>
        <v>9932.4966941441089</v>
      </c>
      <c r="R42" s="702">
        <f t="shared" si="12"/>
        <v>10223.044091662574</v>
      </c>
      <c r="S42" s="702">
        <f t="shared" si="12"/>
        <v>10522.598458504111</v>
      </c>
      <c r="T42" s="702">
        <f t="shared" si="12"/>
        <v>10831.439010717742</v>
      </c>
      <c r="U42" s="702">
        <f t="shared" si="12"/>
        <v>11149.853620049989</v>
      </c>
      <c r="V42" s="702">
        <f t="shared" si="12"/>
        <v>11478.139082271537</v>
      </c>
      <c r="W42" s="702">
        <f t="shared" si="12"/>
        <v>11816.601393821955</v>
      </c>
      <c r="X42" s="702">
        <f t="shared" si="12"/>
        <v>12165.556037030434</v>
      </c>
      <c r="Y42" s="702">
        <f t="shared" si="12"/>
        <v>12525.328274178379</v>
      </c>
      <c r="Z42" s="702">
        <f t="shared" si="12"/>
        <v>12896.253450677903</v>
      </c>
      <c r="AA42" s="702">
        <f t="shared" si="12"/>
        <v>13278.677307648917</v>
      </c>
      <c r="AB42" s="702">
        <f t="shared" si="12"/>
        <v>13672.956304186033</v>
      </c>
      <c r="AC42" s="702">
        <f t="shared" si="12"/>
        <v>14079.4579496158</v>
      </c>
      <c r="AD42" s="702">
        <f t="shared" si="12"/>
        <v>14498.561146053889</v>
      </c>
      <c r="AE42" s="701">
        <f t="shared" si="3"/>
        <v>261472.79166392199</v>
      </c>
    </row>
    <row r="43" spans="1:31" ht="15" thickTop="1" x14ac:dyDescent="0.35">
      <c r="A43">
        <v>0.15</v>
      </c>
      <c r="C43" s="537"/>
      <c r="AD43" s="13"/>
      <c r="AE43" s="653">
        <f t="shared" si="3"/>
        <v>0</v>
      </c>
    </row>
    <row r="44" spans="1:31" x14ac:dyDescent="0.35">
      <c r="B44" s="13">
        <v>681</v>
      </c>
      <c r="C44" s="696" t="s">
        <v>892</v>
      </c>
      <c r="D44" s="150">
        <f>IF('Hipóteses xerais (2)'!$C$94="Si",'Hipóteses xerais (2)'!$C$84,0)</f>
        <v>0</v>
      </c>
      <c r="E44" s="150"/>
      <c r="F44" s="150">
        <f>D44</f>
        <v>0</v>
      </c>
      <c r="G44" s="150">
        <f t="shared" ref="G44:AD44" si="13">F44</f>
        <v>0</v>
      </c>
      <c r="H44" s="150">
        <f t="shared" si="13"/>
        <v>0</v>
      </c>
      <c r="I44" s="150">
        <f t="shared" si="13"/>
        <v>0</v>
      </c>
      <c r="J44" s="150">
        <f t="shared" si="13"/>
        <v>0</v>
      </c>
      <c r="K44" s="150">
        <f t="shared" si="13"/>
        <v>0</v>
      </c>
      <c r="L44" s="150">
        <f t="shared" si="13"/>
        <v>0</v>
      </c>
      <c r="M44" s="150">
        <f t="shared" si="13"/>
        <v>0</v>
      </c>
      <c r="N44" s="150">
        <f t="shared" si="13"/>
        <v>0</v>
      </c>
      <c r="O44" s="150">
        <f t="shared" si="13"/>
        <v>0</v>
      </c>
      <c r="P44" s="150">
        <f t="shared" si="13"/>
        <v>0</v>
      </c>
      <c r="Q44" s="150">
        <f t="shared" si="13"/>
        <v>0</v>
      </c>
      <c r="R44" s="150">
        <f t="shared" si="13"/>
        <v>0</v>
      </c>
      <c r="S44" s="150">
        <f t="shared" si="13"/>
        <v>0</v>
      </c>
      <c r="T44" s="150">
        <f t="shared" si="13"/>
        <v>0</v>
      </c>
      <c r="U44" s="150">
        <f t="shared" si="13"/>
        <v>0</v>
      </c>
      <c r="V44" s="150">
        <f t="shared" si="13"/>
        <v>0</v>
      </c>
      <c r="W44" s="150">
        <f t="shared" si="13"/>
        <v>0</v>
      </c>
      <c r="X44" s="150">
        <f t="shared" si="13"/>
        <v>0</v>
      </c>
      <c r="Y44" s="150">
        <f t="shared" si="13"/>
        <v>0</v>
      </c>
      <c r="Z44" s="150">
        <f t="shared" si="13"/>
        <v>0</v>
      </c>
      <c r="AA44" s="150">
        <f t="shared" si="13"/>
        <v>0</v>
      </c>
      <c r="AB44" s="150">
        <f t="shared" si="13"/>
        <v>0</v>
      </c>
      <c r="AC44" s="150">
        <f t="shared" si="13"/>
        <v>0</v>
      </c>
      <c r="AD44" s="150">
        <f t="shared" si="13"/>
        <v>0</v>
      </c>
      <c r="AE44" s="653">
        <f t="shared" si="3"/>
        <v>0</v>
      </c>
    </row>
    <row r="45" spans="1:31" x14ac:dyDescent="0.35">
      <c r="C45" s="696"/>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653">
        <f t="shared" si="3"/>
        <v>0</v>
      </c>
    </row>
    <row r="46" spans="1:31" s="64" customFormat="1" x14ac:dyDescent="0.35">
      <c r="C46" s="700" t="s">
        <v>891</v>
      </c>
      <c r="D46" s="699">
        <f t="shared" ref="D46:AD46" si="14">D42-D44</f>
        <v>7259</v>
      </c>
      <c r="E46" s="699">
        <f t="shared" si="14"/>
        <v>0</v>
      </c>
      <c r="F46" s="699">
        <f t="shared" si="14"/>
        <v>7259</v>
      </c>
      <c r="G46" s="699">
        <f t="shared" si="14"/>
        <v>7466.6689999999999</v>
      </c>
      <c r="H46" s="699">
        <f t="shared" si="14"/>
        <v>7680.7757389999988</v>
      </c>
      <c r="I46" s="699">
        <f t="shared" si="14"/>
        <v>7901.5197869089989</v>
      </c>
      <c r="J46" s="699">
        <f t="shared" si="14"/>
        <v>8129.1069003031771</v>
      </c>
      <c r="K46" s="699">
        <f t="shared" si="14"/>
        <v>8363.7492142125739</v>
      </c>
      <c r="L46" s="699">
        <f t="shared" si="14"/>
        <v>8605.6654398531628</v>
      </c>
      <c r="M46" s="699">
        <f t="shared" si="14"/>
        <v>8855.0810684886092</v>
      </c>
      <c r="N46" s="699">
        <f t="shared" si="14"/>
        <v>9112.2285816117546</v>
      </c>
      <c r="O46" s="699">
        <f t="shared" si="14"/>
        <v>9377.3476676417195</v>
      </c>
      <c r="P46" s="699">
        <f t="shared" si="14"/>
        <v>9650.6854453386113</v>
      </c>
      <c r="Q46" s="699">
        <f t="shared" si="14"/>
        <v>9932.4966941441089</v>
      </c>
      <c r="R46" s="699">
        <f t="shared" si="14"/>
        <v>10223.044091662574</v>
      </c>
      <c r="S46" s="699">
        <f t="shared" si="14"/>
        <v>10522.598458504111</v>
      </c>
      <c r="T46" s="699">
        <f t="shared" si="14"/>
        <v>10831.439010717742</v>
      </c>
      <c r="U46" s="699">
        <f t="shared" si="14"/>
        <v>11149.853620049989</v>
      </c>
      <c r="V46" s="699">
        <f t="shared" si="14"/>
        <v>11478.139082271537</v>
      </c>
      <c r="W46" s="699">
        <f t="shared" si="14"/>
        <v>11816.601393821955</v>
      </c>
      <c r="X46" s="699">
        <f t="shared" si="14"/>
        <v>12165.556037030434</v>
      </c>
      <c r="Y46" s="699">
        <f t="shared" si="14"/>
        <v>12525.328274178379</v>
      </c>
      <c r="Z46" s="699">
        <f t="shared" si="14"/>
        <v>12896.253450677903</v>
      </c>
      <c r="AA46" s="699">
        <f t="shared" si="14"/>
        <v>13278.677307648917</v>
      </c>
      <c r="AB46" s="699">
        <f t="shared" si="14"/>
        <v>13672.956304186033</v>
      </c>
      <c r="AC46" s="699">
        <f t="shared" si="14"/>
        <v>14079.4579496158</v>
      </c>
      <c r="AD46" s="699">
        <f t="shared" si="14"/>
        <v>14498.561146053889</v>
      </c>
      <c r="AE46" s="698">
        <f t="shared" si="3"/>
        <v>261472.79166392199</v>
      </c>
    </row>
    <row r="47" spans="1:31" x14ac:dyDescent="0.35">
      <c r="C47" s="171"/>
      <c r="AE47" s="653">
        <f t="shared" si="3"/>
        <v>0</v>
      </c>
    </row>
    <row r="48" spans="1:31" x14ac:dyDescent="0.35">
      <c r="C48" s="696" t="s">
        <v>890</v>
      </c>
      <c r="D48" s="150"/>
      <c r="E48" s="150"/>
      <c r="F48" s="150">
        <v>0</v>
      </c>
      <c r="G48" s="150">
        <f t="shared" ref="G48:AD48" si="15">F48</f>
        <v>0</v>
      </c>
      <c r="H48" s="150">
        <f t="shared" si="15"/>
        <v>0</v>
      </c>
      <c r="I48" s="150">
        <f t="shared" si="15"/>
        <v>0</v>
      </c>
      <c r="J48" s="150">
        <f t="shared" si="15"/>
        <v>0</v>
      </c>
      <c r="K48" s="150">
        <f t="shared" si="15"/>
        <v>0</v>
      </c>
      <c r="L48" s="150">
        <f t="shared" si="15"/>
        <v>0</v>
      </c>
      <c r="M48" s="150">
        <f t="shared" si="15"/>
        <v>0</v>
      </c>
      <c r="N48" s="150">
        <f t="shared" si="15"/>
        <v>0</v>
      </c>
      <c r="O48" s="150">
        <f t="shared" si="15"/>
        <v>0</v>
      </c>
      <c r="P48" s="150">
        <f t="shared" si="15"/>
        <v>0</v>
      </c>
      <c r="Q48" s="150">
        <f t="shared" si="15"/>
        <v>0</v>
      </c>
      <c r="R48" s="150">
        <f t="shared" si="15"/>
        <v>0</v>
      </c>
      <c r="S48" s="150">
        <f t="shared" si="15"/>
        <v>0</v>
      </c>
      <c r="T48" s="150">
        <f t="shared" si="15"/>
        <v>0</v>
      </c>
      <c r="U48" s="150">
        <f t="shared" si="15"/>
        <v>0</v>
      </c>
      <c r="V48" s="150">
        <f t="shared" si="15"/>
        <v>0</v>
      </c>
      <c r="W48" s="150">
        <f t="shared" si="15"/>
        <v>0</v>
      </c>
      <c r="X48" s="150">
        <f t="shared" si="15"/>
        <v>0</v>
      </c>
      <c r="Y48" s="150">
        <f t="shared" si="15"/>
        <v>0</v>
      </c>
      <c r="Z48" s="150">
        <f t="shared" si="15"/>
        <v>0</v>
      </c>
      <c r="AA48" s="150">
        <f t="shared" si="15"/>
        <v>0</v>
      </c>
      <c r="AB48" s="150">
        <f t="shared" si="15"/>
        <v>0</v>
      </c>
      <c r="AC48" s="150">
        <f t="shared" si="15"/>
        <v>0</v>
      </c>
      <c r="AD48" s="150">
        <f t="shared" si="15"/>
        <v>0</v>
      </c>
      <c r="AE48" s="653">
        <f t="shared" si="3"/>
        <v>0</v>
      </c>
    </row>
    <row r="49" spans="2:31" x14ac:dyDescent="0.35">
      <c r="C49" s="696" t="s">
        <v>889</v>
      </c>
      <c r="D49" s="150"/>
      <c r="E49" s="150"/>
      <c r="F49" s="150">
        <f>'x Financiamento'!C12+'x Financiamento'!D4</f>
        <v>0</v>
      </c>
      <c r="G49" s="150">
        <f>'x Financiamento'!C13</f>
        <v>0</v>
      </c>
      <c r="H49" s="150">
        <f>'x Financiamento'!C14</f>
        <v>0</v>
      </c>
      <c r="I49" s="150">
        <f>'x Financiamento'!C15</f>
        <v>0</v>
      </c>
      <c r="J49" s="150">
        <f>'x Financiamento'!C16</f>
        <v>0</v>
      </c>
      <c r="K49" s="150">
        <f>'x Financiamento'!C17</f>
        <v>0</v>
      </c>
      <c r="L49" s="150">
        <f>'x Financiamento'!C18</f>
        <v>0</v>
      </c>
      <c r="M49" s="150">
        <f>'x Financiamento'!C19</f>
        <v>0</v>
      </c>
      <c r="N49" s="150">
        <f>'x Financiamento'!C20</f>
        <v>0</v>
      </c>
      <c r="O49" s="150">
        <f>'x Financiamento'!C21</f>
        <v>0</v>
      </c>
      <c r="P49" s="150">
        <f>'x Financiamento'!C22</f>
        <v>0</v>
      </c>
      <c r="Q49" s="150">
        <f>'x Financiamento'!C23</f>
        <v>0</v>
      </c>
      <c r="R49" s="150">
        <f>'x Financiamento'!C24</f>
        <v>0</v>
      </c>
      <c r="S49" s="150">
        <f>'x Financiamento'!C25</f>
        <v>0</v>
      </c>
      <c r="T49" s="150">
        <f>'x Financiamento'!C26</f>
        <v>0</v>
      </c>
      <c r="U49" s="150">
        <f>'x Financiamento'!C27</f>
        <v>0</v>
      </c>
      <c r="V49" s="150">
        <f>'x Financiamento'!C28</f>
        <v>0</v>
      </c>
      <c r="W49" s="150">
        <f>'x Financiamento'!C29</f>
        <v>0</v>
      </c>
      <c r="X49" s="150">
        <f>'x Financiamento'!C30</f>
        <v>0</v>
      </c>
      <c r="Y49" s="150">
        <f>'x Financiamento'!C31</f>
        <v>0</v>
      </c>
      <c r="Z49" s="150">
        <f>'x Financiamento'!C32</f>
        <v>0</v>
      </c>
      <c r="AA49" s="150">
        <f>'x Financiamento'!C33</f>
        <v>0</v>
      </c>
      <c r="AB49" s="150">
        <f>'x Financiamento'!C34</f>
        <v>0</v>
      </c>
      <c r="AC49" s="150">
        <f>'x Financiamento'!C35</f>
        <v>0</v>
      </c>
      <c r="AD49" s="150">
        <f>'x Financiamento'!C36</f>
        <v>0</v>
      </c>
      <c r="AE49" s="653">
        <f t="shared" si="3"/>
        <v>0</v>
      </c>
    </row>
    <row r="50" spans="2:31" ht="15" thickBot="1" x14ac:dyDescent="0.4">
      <c r="C50" s="534"/>
      <c r="D50" s="150"/>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693">
        <f t="shared" si="3"/>
        <v>0</v>
      </c>
    </row>
    <row r="51" spans="2:31" ht="15.5" thickTop="1" thickBot="1" x14ac:dyDescent="0.4">
      <c r="C51" s="692" t="s">
        <v>888</v>
      </c>
      <c r="D51" s="690"/>
      <c r="E51" s="690"/>
      <c r="F51" s="690">
        <f t="shared" ref="F51:AE51" si="16">F46+F48-F49</f>
        <v>7259</v>
      </c>
      <c r="G51" s="690">
        <f t="shared" si="16"/>
        <v>7466.6689999999999</v>
      </c>
      <c r="H51" s="690">
        <f t="shared" si="16"/>
        <v>7680.7757389999988</v>
      </c>
      <c r="I51" s="690">
        <f t="shared" si="16"/>
        <v>7901.5197869089989</v>
      </c>
      <c r="J51" s="690">
        <f t="shared" si="16"/>
        <v>8129.1069003031771</v>
      </c>
      <c r="K51" s="690">
        <f t="shared" si="16"/>
        <v>8363.7492142125739</v>
      </c>
      <c r="L51" s="690">
        <f t="shared" si="16"/>
        <v>8605.6654398531628</v>
      </c>
      <c r="M51" s="690">
        <f t="shared" si="16"/>
        <v>8855.0810684886092</v>
      </c>
      <c r="N51" s="690">
        <f t="shared" si="16"/>
        <v>9112.2285816117546</v>
      </c>
      <c r="O51" s="690">
        <f t="shared" si="16"/>
        <v>9377.3476676417195</v>
      </c>
      <c r="P51" s="690">
        <f t="shared" si="16"/>
        <v>9650.6854453386113</v>
      </c>
      <c r="Q51" s="690">
        <f t="shared" si="16"/>
        <v>9932.4966941441089</v>
      </c>
      <c r="R51" s="690">
        <f t="shared" si="16"/>
        <v>10223.044091662574</v>
      </c>
      <c r="S51" s="690">
        <f t="shared" si="16"/>
        <v>10522.598458504111</v>
      </c>
      <c r="T51" s="690">
        <f t="shared" si="16"/>
        <v>10831.439010717742</v>
      </c>
      <c r="U51" s="690">
        <f t="shared" si="16"/>
        <v>11149.853620049989</v>
      </c>
      <c r="V51" s="690">
        <f t="shared" si="16"/>
        <v>11478.139082271537</v>
      </c>
      <c r="W51" s="690">
        <f t="shared" si="16"/>
        <v>11816.601393821955</v>
      </c>
      <c r="X51" s="690">
        <f t="shared" si="16"/>
        <v>12165.556037030434</v>
      </c>
      <c r="Y51" s="690">
        <f t="shared" si="16"/>
        <v>12525.328274178379</v>
      </c>
      <c r="Z51" s="690">
        <f t="shared" si="16"/>
        <v>12896.253450677903</v>
      </c>
      <c r="AA51" s="690">
        <f t="shared" si="16"/>
        <v>13278.677307648917</v>
      </c>
      <c r="AB51" s="690">
        <f t="shared" si="16"/>
        <v>13672.956304186033</v>
      </c>
      <c r="AC51" s="690">
        <f t="shared" si="16"/>
        <v>14079.4579496158</v>
      </c>
      <c r="AD51" s="689">
        <f t="shared" si="16"/>
        <v>14498.561146053889</v>
      </c>
      <c r="AE51" s="697">
        <f t="shared" si="16"/>
        <v>261472.79166392199</v>
      </c>
    </row>
    <row r="52" spans="2:31" ht="15" thickTop="1" x14ac:dyDescent="0.35">
      <c r="C52" s="171"/>
      <c r="AD52" s="694"/>
      <c r="AE52" s="663">
        <f t="shared" ref="AE52:AE57" si="17">SUM(F52:AD52)</f>
        <v>0</v>
      </c>
    </row>
    <row r="53" spans="2:31" x14ac:dyDescent="0.35">
      <c r="B53" s="38">
        <v>0.25</v>
      </c>
      <c r="C53" s="696" t="s">
        <v>887</v>
      </c>
      <c r="F53" s="150">
        <f>F51*'Hipóteses xerais (2)'!$C$16</f>
        <v>1814.75</v>
      </c>
      <c r="G53" s="150">
        <f>G51*'Hipóteses xerais (2)'!$C$16</f>
        <v>1866.66725</v>
      </c>
      <c r="H53" s="150">
        <f>H51*'Hipóteses xerais (2)'!$C$16</f>
        <v>1920.1939347499997</v>
      </c>
      <c r="I53" s="150">
        <f>I51*'Hipóteses xerais (2)'!$C$16</f>
        <v>1975.3799467272497</v>
      </c>
      <c r="J53" s="150">
        <f>J51*'Hipóteses xerais (2)'!$C$16</f>
        <v>2032.2767250757943</v>
      </c>
      <c r="K53" s="150">
        <f>K51*'Hipóteses xerais (2)'!$C$16</f>
        <v>2090.9373035531435</v>
      </c>
      <c r="L53" s="150">
        <f>L51*'Hipóteses xerais (2)'!$C$16</f>
        <v>2151.4163599632907</v>
      </c>
      <c r="M53" s="150">
        <f>M51*'Hipóteses xerais (2)'!$C$16</f>
        <v>2213.7702671221523</v>
      </c>
      <c r="N53" s="150">
        <f>N51*'Hipóteses xerais (2)'!$C$16</f>
        <v>2278.0571454029387</v>
      </c>
      <c r="O53" s="150">
        <f>O51*'Hipóteses xerais (2)'!$C$16</f>
        <v>2344.3369169104299</v>
      </c>
      <c r="P53" s="150">
        <f>P51*'Hipóteses xerais (2)'!$C$16</f>
        <v>2412.6713613346528</v>
      </c>
      <c r="Q53" s="150">
        <f>Q51*'Hipóteses xerais (2)'!$C$16</f>
        <v>2483.1241735360272</v>
      </c>
      <c r="R53" s="150">
        <f>R51*'Hipóteses xerais (2)'!$C$16</f>
        <v>2555.7610229156435</v>
      </c>
      <c r="S53" s="150">
        <f>S51*'Hipóteses xerais (2)'!$C$16</f>
        <v>2630.6496146260279</v>
      </c>
      <c r="T53" s="150">
        <f>T51*'Hipóteses xerais (2)'!$C$16</f>
        <v>2707.8597526794356</v>
      </c>
      <c r="U53" s="150">
        <f>U51*'Hipóteses xerais (2)'!$C$16</f>
        <v>2787.4634050124973</v>
      </c>
      <c r="V53" s="150">
        <f>V51*'Hipóteses xerais (2)'!$C$16</f>
        <v>2869.5347705678842</v>
      </c>
      <c r="W53" s="150">
        <f>W51*'Hipóteses xerais (2)'!$C$16</f>
        <v>2954.1503484554887</v>
      </c>
      <c r="X53" s="150">
        <f>X51*'Hipóteses xerais (2)'!$C$16</f>
        <v>3041.3890092576084</v>
      </c>
      <c r="Y53" s="150">
        <f>Y51*'Hipóteses xerais (2)'!$C$16</f>
        <v>3131.3320685445947</v>
      </c>
      <c r="Z53" s="150">
        <f>Z51*'Hipóteses xerais (2)'!$C$16</f>
        <v>3224.0633626694757</v>
      </c>
      <c r="AA53" s="150">
        <f>AA51*'Hipóteses xerais (2)'!$C$16</f>
        <v>3319.6693269122293</v>
      </c>
      <c r="AB53" s="150">
        <f>AB51*'Hipóteses xerais (2)'!$C$16</f>
        <v>3418.2390760465082</v>
      </c>
      <c r="AC53" s="150">
        <f>AC51*'Hipóteses xerais (2)'!$C$16</f>
        <v>3519.8644874039501</v>
      </c>
      <c r="AD53" s="695">
        <f>AD51*'Hipóteses xerais (2)'!$C$16</f>
        <v>3624.6402865134723</v>
      </c>
      <c r="AE53" s="653">
        <f t="shared" si="17"/>
        <v>65368.197915980498</v>
      </c>
    </row>
    <row r="54" spans="2:31" x14ac:dyDescent="0.35">
      <c r="C54" s="171" t="s">
        <v>886</v>
      </c>
      <c r="H54" s="150"/>
      <c r="I54" s="150"/>
      <c r="J54" s="150"/>
      <c r="K54" s="150"/>
      <c r="L54" s="150"/>
      <c r="M54" s="150"/>
      <c r="N54" s="150"/>
      <c r="O54" s="150"/>
      <c r="P54" s="150"/>
      <c r="Q54" s="150"/>
      <c r="R54" s="150"/>
      <c r="S54" s="150"/>
      <c r="T54" s="150"/>
      <c r="AD54" s="694"/>
      <c r="AE54" s="653">
        <f t="shared" si="17"/>
        <v>0</v>
      </c>
    </row>
    <row r="55" spans="2:31" x14ac:dyDescent="0.35">
      <c r="C55" s="171" t="s">
        <v>885</v>
      </c>
      <c r="H55" s="150"/>
      <c r="I55" s="150"/>
      <c r="J55" s="150"/>
      <c r="K55" s="150"/>
      <c r="L55" s="150"/>
      <c r="M55" s="150"/>
      <c r="N55" s="150"/>
      <c r="O55" s="150"/>
      <c r="P55" s="150"/>
      <c r="Q55" s="150"/>
      <c r="R55" s="150"/>
      <c r="S55" s="150"/>
      <c r="T55" s="150"/>
      <c r="AD55" s="694"/>
      <c r="AE55" s="653">
        <f t="shared" si="17"/>
        <v>0</v>
      </c>
    </row>
    <row r="56" spans="2:31" ht="15" thickBot="1" x14ac:dyDescent="0.4">
      <c r="C56" s="171"/>
      <c r="AD56" s="694"/>
      <c r="AE56" s="693">
        <f t="shared" si="17"/>
        <v>0</v>
      </c>
    </row>
    <row r="57" spans="2:31" ht="15.5" thickTop="1" thickBot="1" x14ac:dyDescent="0.4">
      <c r="C57" s="692" t="s">
        <v>884</v>
      </c>
      <c r="D57" s="691"/>
      <c r="E57" s="691"/>
      <c r="F57" s="690">
        <f t="shared" ref="F57:AD57" si="18">F51-F53</f>
        <v>5444.25</v>
      </c>
      <c r="G57" s="690">
        <f t="shared" si="18"/>
        <v>5600.0017499999994</v>
      </c>
      <c r="H57" s="690">
        <f t="shared" si="18"/>
        <v>5760.5818042499995</v>
      </c>
      <c r="I57" s="690">
        <f t="shared" si="18"/>
        <v>5926.1398401817496</v>
      </c>
      <c r="J57" s="690">
        <f t="shared" si="18"/>
        <v>6096.8301752273828</v>
      </c>
      <c r="K57" s="690">
        <f t="shared" si="18"/>
        <v>6272.8119106594304</v>
      </c>
      <c r="L57" s="690">
        <f t="shared" si="18"/>
        <v>6454.2490798898725</v>
      </c>
      <c r="M57" s="690">
        <f t="shared" si="18"/>
        <v>6641.3108013664569</v>
      </c>
      <c r="N57" s="690">
        <f t="shared" si="18"/>
        <v>6834.171436208816</v>
      </c>
      <c r="O57" s="690">
        <f t="shared" si="18"/>
        <v>7033.0107507312896</v>
      </c>
      <c r="P57" s="690">
        <f t="shared" si="18"/>
        <v>7238.0140840039585</v>
      </c>
      <c r="Q57" s="690">
        <f t="shared" si="18"/>
        <v>7449.3725206080817</v>
      </c>
      <c r="R57" s="690">
        <f t="shared" si="18"/>
        <v>7667.2830687469304</v>
      </c>
      <c r="S57" s="690">
        <f t="shared" si="18"/>
        <v>7891.9488438780836</v>
      </c>
      <c r="T57" s="690">
        <f t="shared" si="18"/>
        <v>8123.5792580383068</v>
      </c>
      <c r="U57" s="690">
        <f t="shared" si="18"/>
        <v>8362.3902150374925</v>
      </c>
      <c r="V57" s="690">
        <f t="shared" si="18"/>
        <v>8608.6043117036534</v>
      </c>
      <c r="W57" s="690">
        <f t="shared" si="18"/>
        <v>8862.4510453664661</v>
      </c>
      <c r="X57" s="690">
        <f t="shared" si="18"/>
        <v>9124.1670277728263</v>
      </c>
      <c r="Y57" s="690">
        <f t="shared" si="18"/>
        <v>9393.9962056337845</v>
      </c>
      <c r="Z57" s="690">
        <f t="shared" si="18"/>
        <v>9672.1900880084268</v>
      </c>
      <c r="AA57" s="690">
        <f t="shared" si="18"/>
        <v>9959.0079807366874</v>
      </c>
      <c r="AB57" s="690">
        <f t="shared" si="18"/>
        <v>10254.717228139525</v>
      </c>
      <c r="AC57" s="690">
        <f t="shared" si="18"/>
        <v>10559.593462211851</v>
      </c>
      <c r="AD57" s="689">
        <f t="shared" si="18"/>
        <v>10873.920859540416</v>
      </c>
      <c r="AE57" s="688">
        <f t="shared" si="17"/>
        <v>196104.59374794149</v>
      </c>
    </row>
    <row r="58" spans="2:31" ht="15" thickTop="1" x14ac:dyDescent="0.35"/>
    <row r="59" spans="2:31" ht="15" thickBot="1" x14ac:dyDescent="0.4">
      <c r="F59" s="150"/>
    </row>
    <row r="60" spans="2:31" ht="15" thickTop="1" x14ac:dyDescent="0.35">
      <c r="B60" s="150"/>
      <c r="C60" s="687" t="s">
        <v>883</v>
      </c>
      <c r="D60" s="1846"/>
      <c r="E60" s="1847"/>
      <c r="F60" s="684">
        <f t="shared" ref="F60:AE60" si="19">F4</f>
        <v>1</v>
      </c>
      <c r="G60" s="684">
        <f t="shared" si="19"/>
        <v>2</v>
      </c>
      <c r="H60" s="684">
        <f t="shared" si="19"/>
        <v>3</v>
      </c>
      <c r="I60" s="684">
        <f t="shared" si="19"/>
        <v>4</v>
      </c>
      <c r="J60" s="684">
        <f t="shared" si="19"/>
        <v>5</v>
      </c>
      <c r="K60" s="684">
        <f t="shared" si="19"/>
        <v>6</v>
      </c>
      <c r="L60" s="684">
        <f t="shared" si="19"/>
        <v>7</v>
      </c>
      <c r="M60" s="684">
        <f t="shared" si="19"/>
        <v>8</v>
      </c>
      <c r="N60" s="684">
        <f t="shared" si="19"/>
        <v>9</v>
      </c>
      <c r="O60" s="684">
        <f t="shared" si="19"/>
        <v>10</v>
      </c>
      <c r="P60" s="684">
        <f t="shared" si="19"/>
        <v>11</v>
      </c>
      <c r="Q60" s="684">
        <f t="shared" si="19"/>
        <v>12</v>
      </c>
      <c r="R60" s="684">
        <f t="shared" si="19"/>
        <v>13</v>
      </c>
      <c r="S60" s="684">
        <f t="shared" si="19"/>
        <v>14</v>
      </c>
      <c r="T60" s="684">
        <f t="shared" si="19"/>
        <v>15</v>
      </c>
      <c r="U60" s="684">
        <f t="shared" si="19"/>
        <v>16</v>
      </c>
      <c r="V60" s="684">
        <f t="shared" si="19"/>
        <v>17</v>
      </c>
      <c r="W60" s="684">
        <f t="shared" si="19"/>
        <v>18</v>
      </c>
      <c r="X60" s="684">
        <f t="shared" si="19"/>
        <v>19</v>
      </c>
      <c r="Y60" s="684">
        <f t="shared" si="19"/>
        <v>20</v>
      </c>
      <c r="Z60" s="684">
        <f t="shared" si="19"/>
        <v>21</v>
      </c>
      <c r="AA60" s="684">
        <f t="shared" si="19"/>
        <v>22</v>
      </c>
      <c r="AB60" s="684">
        <f t="shared" si="19"/>
        <v>23</v>
      </c>
      <c r="AC60" s="684">
        <f t="shared" si="19"/>
        <v>24</v>
      </c>
      <c r="AD60" s="684">
        <f t="shared" si="19"/>
        <v>25</v>
      </c>
      <c r="AE60" s="683" t="str">
        <f t="shared" si="19"/>
        <v>Valores Acumulados (Suma)</v>
      </c>
    </row>
    <row r="61" spans="2:31" ht="15" thickBot="1" x14ac:dyDescent="0.4">
      <c r="C61" s="682"/>
      <c r="D61" s="681"/>
      <c r="E61" s="680"/>
      <c r="F61" s="679">
        <f t="shared" ref="F61:AE61" si="20">F5</f>
        <v>2025</v>
      </c>
      <c r="G61" s="679">
        <f t="shared" si="20"/>
        <v>2026</v>
      </c>
      <c r="H61" s="679">
        <f t="shared" si="20"/>
        <v>2027</v>
      </c>
      <c r="I61" s="679">
        <f t="shared" si="20"/>
        <v>2028</v>
      </c>
      <c r="J61" s="679">
        <f t="shared" si="20"/>
        <v>2029</v>
      </c>
      <c r="K61" s="679">
        <f t="shared" si="20"/>
        <v>2030</v>
      </c>
      <c r="L61" s="679">
        <f t="shared" si="20"/>
        <v>2031</v>
      </c>
      <c r="M61" s="679">
        <f t="shared" si="20"/>
        <v>2032</v>
      </c>
      <c r="N61" s="679">
        <f t="shared" si="20"/>
        <v>2033</v>
      </c>
      <c r="O61" s="679">
        <f t="shared" si="20"/>
        <v>2034</v>
      </c>
      <c r="P61" s="679">
        <f t="shared" si="20"/>
        <v>2035</v>
      </c>
      <c r="Q61" s="679">
        <f t="shared" si="20"/>
        <v>2036</v>
      </c>
      <c r="R61" s="679">
        <f t="shared" si="20"/>
        <v>2037</v>
      </c>
      <c r="S61" s="679">
        <f t="shared" si="20"/>
        <v>2038</v>
      </c>
      <c r="T61" s="679">
        <f t="shared" si="20"/>
        <v>2039</v>
      </c>
      <c r="U61" s="679">
        <f t="shared" si="20"/>
        <v>2040</v>
      </c>
      <c r="V61" s="679">
        <f t="shared" si="20"/>
        <v>2041</v>
      </c>
      <c r="W61" s="679">
        <f t="shared" si="20"/>
        <v>2042</v>
      </c>
      <c r="X61" s="679">
        <f t="shared" si="20"/>
        <v>2043</v>
      </c>
      <c r="Y61" s="679">
        <f t="shared" si="20"/>
        <v>2044</v>
      </c>
      <c r="Z61" s="679">
        <f t="shared" si="20"/>
        <v>2045</v>
      </c>
      <c r="AA61" s="679">
        <f t="shared" si="20"/>
        <v>2046</v>
      </c>
      <c r="AB61" s="679">
        <f t="shared" si="20"/>
        <v>2047</v>
      </c>
      <c r="AC61" s="679">
        <f t="shared" si="20"/>
        <v>2048</v>
      </c>
      <c r="AD61" s="679">
        <f t="shared" si="20"/>
        <v>2049</v>
      </c>
      <c r="AE61" s="678" t="str">
        <f t="shared" si="20"/>
        <v>Vida Completa do Proxecto</v>
      </c>
    </row>
    <row r="62" spans="2:31" ht="14.5" customHeight="1" thickTop="1" x14ac:dyDescent="0.35">
      <c r="C62" s="677" t="s">
        <v>882</v>
      </c>
      <c r="D62" s="676"/>
      <c r="E62" s="676"/>
      <c r="F62" s="657">
        <f t="shared" ref="F62:AD62" si="21">F13</f>
        <v>2470.4699999999998</v>
      </c>
      <c r="G62" s="657">
        <f t="shared" si="21"/>
        <v>2460</v>
      </c>
      <c r="H62" s="657">
        <f t="shared" si="21"/>
        <v>2574.5599999999995</v>
      </c>
      <c r="I62" s="657">
        <f t="shared" si="21"/>
        <v>2692.7859200000003</v>
      </c>
      <c r="J62" s="657">
        <f t="shared" si="21"/>
        <v>2814.7950694400001</v>
      </c>
      <c r="K62" s="657">
        <f t="shared" si="21"/>
        <v>2940.7085116620801</v>
      </c>
      <c r="L62" s="657">
        <f t="shared" si="21"/>
        <v>3070.6511840352669</v>
      </c>
      <c r="M62" s="657">
        <f t="shared" si="21"/>
        <v>3204.7520219243952</v>
      </c>
      <c r="N62" s="657">
        <f t="shared" si="21"/>
        <v>3343.1440866259768</v>
      </c>
      <c r="O62" s="657">
        <f t="shared" si="21"/>
        <v>3485.9646973980075</v>
      </c>
      <c r="P62" s="657">
        <f t="shared" si="21"/>
        <v>3633.3555677147442</v>
      </c>
      <c r="Q62" s="657">
        <f t="shared" si="21"/>
        <v>3785.4629458816171</v>
      </c>
      <c r="R62" s="657">
        <f t="shared" si="21"/>
        <v>3942.4377601498277</v>
      </c>
      <c r="S62" s="657">
        <f t="shared" si="21"/>
        <v>4104.4357684746237</v>
      </c>
      <c r="T62" s="657">
        <f t="shared" si="21"/>
        <v>4271.6177130658116</v>
      </c>
      <c r="U62" s="657">
        <f t="shared" si="21"/>
        <v>4444.1494798839176</v>
      </c>
      <c r="V62" s="657">
        <f t="shared" si="21"/>
        <v>4622.2022632402031</v>
      </c>
      <c r="W62" s="657">
        <f t="shared" si="21"/>
        <v>4805.9527356638891</v>
      </c>
      <c r="X62" s="657">
        <f t="shared" si="21"/>
        <v>4995.5832232051353</v>
      </c>
      <c r="Y62" s="657">
        <f t="shared" si="21"/>
        <v>5191.2818863476987</v>
      </c>
      <c r="Z62" s="657">
        <f t="shared" si="21"/>
        <v>5393.242906710826</v>
      </c>
      <c r="AA62" s="657">
        <f t="shared" si="21"/>
        <v>5601.6666797255721</v>
      </c>
      <c r="AB62" s="657">
        <f t="shared" si="21"/>
        <v>5816.7600134767908</v>
      </c>
      <c r="AC62" s="657">
        <f t="shared" si="21"/>
        <v>6038.7363339080466</v>
      </c>
      <c r="AD62" s="657">
        <f t="shared" si="21"/>
        <v>6267.8158965931061</v>
      </c>
      <c r="AE62" s="663">
        <f>SUM(F62:AD62)</f>
        <v>101972.53266512754</v>
      </c>
    </row>
    <row r="63" spans="2:31" x14ac:dyDescent="0.35">
      <c r="C63" s="662" t="s">
        <v>881</v>
      </c>
      <c r="D63" s="661"/>
      <c r="E63" s="661"/>
      <c r="F63" s="660">
        <f t="shared" ref="F63:AD63" si="22">F14</f>
        <v>1680</v>
      </c>
      <c r="G63" s="660">
        <f t="shared" si="22"/>
        <v>1680</v>
      </c>
      <c r="H63" s="660">
        <f t="shared" si="22"/>
        <v>1680</v>
      </c>
      <c r="I63" s="660">
        <f t="shared" si="22"/>
        <v>1680</v>
      </c>
      <c r="J63" s="660">
        <f t="shared" si="22"/>
        <v>1680</v>
      </c>
      <c r="K63" s="660">
        <f t="shared" si="22"/>
        <v>1680</v>
      </c>
      <c r="L63" s="660">
        <f t="shared" si="22"/>
        <v>1680</v>
      </c>
      <c r="M63" s="660">
        <f t="shared" si="22"/>
        <v>1680</v>
      </c>
      <c r="N63" s="660">
        <f t="shared" si="22"/>
        <v>1680</v>
      </c>
      <c r="O63" s="660">
        <f t="shared" si="22"/>
        <v>1680</v>
      </c>
      <c r="P63" s="660">
        <f t="shared" si="22"/>
        <v>1680</v>
      </c>
      <c r="Q63" s="660">
        <f t="shared" si="22"/>
        <v>1680</v>
      </c>
      <c r="R63" s="660">
        <f t="shared" si="22"/>
        <v>1680</v>
      </c>
      <c r="S63" s="660">
        <f t="shared" si="22"/>
        <v>1680</v>
      </c>
      <c r="T63" s="660">
        <f t="shared" si="22"/>
        <v>1680</v>
      </c>
      <c r="U63" s="660">
        <f t="shared" si="22"/>
        <v>1680</v>
      </c>
      <c r="V63" s="660">
        <f t="shared" si="22"/>
        <v>1680</v>
      </c>
      <c r="W63" s="660">
        <f t="shared" si="22"/>
        <v>1680</v>
      </c>
      <c r="X63" s="660">
        <f t="shared" si="22"/>
        <v>1680</v>
      </c>
      <c r="Y63" s="660">
        <f t="shared" si="22"/>
        <v>1680</v>
      </c>
      <c r="Z63" s="660">
        <f t="shared" si="22"/>
        <v>1680</v>
      </c>
      <c r="AA63" s="660">
        <f t="shared" si="22"/>
        <v>1680</v>
      </c>
      <c r="AB63" s="660">
        <f t="shared" si="22"/>
        <v>1680</v>
      </c>
      <c r="AC63" s="660">
        <f t="shared" si="22"/>
        <v>1680</v>
      </c>
      <c r="AD63" s="660">
        <f t="shared" si="22"/>
        <v>1680</v>
      </c>
      <c r="AE63" s="659">
        <f>SUM(F63:AD63)</f>
        <v>42000</v>
      </c>
    </row>
    <row r="64" spans="2:31" x14ac:dyDescent="0.35">
      <c r="C64" s="675" t="s">
        <v>880</v>
      </c>
      <c r="D64" s="674"/>
      <c r="E64" s="674"/>
      <c r="F64" s="673">
        <f t="shared" ref="F64:AD64" si="23">SUM(F62:F63)</f>
        <v>4150.4699999999993</v>
      </c>
      <c r="G64" s="673">
        <f t="shared" si="23"/>
        <v>4140</v>
      </c>
      <c r="H64" s="673">
        <f t="shared" si="23"/>
        <v>4254.5599999999995</v>
      </c>
      <c r="I64" s="673">
        <f t="shared" si="23"/>
        <v>4372.7859200000003</v>
      </c>
      <c r="J64" s="673">
        <f t="shared" si="23"/>
        <v>4494.7950694400006</v>
      </c>
      <c r="K64" s="673">
        <f t="shared" si="23"/>
        <v>4620.7085116620801</v>
      </c>
      <c r="L64" s="673">
        <f t="shared" si="23"/>
        <v>4750.6511840352669</v>
      </c>
      <c r="M64" s="673">
        <f t="shared" si="23"/>
        <v>4884.7520219243952</v>
      </c>
      <c r="N64" s="673">
        <f t="shared" si="23"/>
        <v>5023.1440866259763</v>
      </c>
      <c r="O64" s="673">
        <f t="shared" si="23"/>
        <v>5165.964697398007</v>
      </c>
      <c r="P64" s="673">
        <f t="shared" si="23"/>
        <v>5313.3555677147442</v>
      </c>
      <c r="Q64" s="673">
        <f t="shared" si="23"/>
        <v>5465.4629458816171</v>
      </c>
      <c r="R64" s="673">
        <f t="shared" si="23"/>
        <v>5622.4377601498272</v>
      </c>
      <c r="S64" s="673">
        <f t="shared" si="23"/>
        <v>5784.4357684746237</v>
      </c>
      <c r="T64" s="673">
        <f t="shared" si="23"/>
        <v>5951.6177130658116</v>
      </c>
      <c r="U64" s="673">
        <f t="shared" si="23"/>
        <v>6124.1494798839176</v>
      </c>
      <c r="V64" s="673">
        <f t="shared" si="23"/>
        <v>6302.2022632402031</v>
      </c>
      <c r="W64" s="673">
        <f t="shared" si="23"/>
        <v>6485.9527356638891</v>
      </c>
      <c r="X64" s="673">
        <f t="shared" si="23"/>
        <v>6675.5832232051353</v>
      </c>
      <c r="Y64" s="673">
        <f t="shared" si="23"/>
        <v>6871.2818863476987</v>
      </c>
      <c r="Z64" s="673">
        <f t="shared" si="23"/>
        <v>7073.242906710826</v>
      </c>
      <c r="AA64" s="673">
        <f t="shared" si="23"/>
        <v>7281.6666797255721</v>
      </c>
      <c r="AB64" s="673">
        <f t="shared" si="23"/>
        <v>7496.7600134767908</v>
      </c>
      <c r="AC64" s="673">
        <f t="shared" si="23"/>
        <v>7718.7363339080466</v>
      </c>
      <c r="AD64" s="673">
        <f t="shared" si="23"/>
        <v>7947.8158965931061</v>
      </c>
      <c r="AE64" s="672">
        <f>SUM(F64:AD64)</f>
        <v>143972.53266512751</v>
      </c>
    </row>
    <row r="65" spans="3:31" ht="15" thickBot="1" x14ac:dyDescent="0.4">
      <c r="C65" s="671" t="s">
        <v>879</v>
      </c>
      <c r="D65" s="670"/>
      <c r="E65" s="670"/>
      <c r="F65" s="669">
        <f>IF('Hipóteses xerais (2)'!$C$94="Si",(F40+F44+F49+('Hipóteses xerais (2)'!$C$89/'Hipóteses xerais (2)'!$C$11)),(F40+F44+F49))</f>
        <v>3590.47</v>
      </c>
      <c r="G65" s="669">
        <f>IF('Hipóteses xerais (2)'!$C$94="Si",(G40+G44+G49+('Hipóteses xerais (2)'!$C$89/'Hipóteses xerais (2)'!$C$11)),(G40+G44+G49))</f>
        <v>3580</v>
      </c>
      <c r="H65" s="669">
        <f>IF('Hipóteses xerais (2)'!$C$94="Si",(H40+H44+H49+('Hipóteses xerais (2)'!$C$89/'Hipóteses xerais (2)'!$C$11)),(H40+H44+H49))</f>
        <v>3694.5599999999995</v>
      </c>
      <c r="I65" s="669">
        <f>IF('Hipóteses xerais (2)'!$C$94="Si",(I40+I44+I49+('Hipóteses xerais (2)'!$C$89/'Hipóteses xerais (2)'!$C$11)),(I40+I44+I49))</f>
        <v>3812.7859200000003</v>
      </c>
      <c r="J65" s="669">
        <f>IF('Hipóteses xerais (2)'!$C$94="Si",(J40+J44+J49+('Hipóteses xerais (2)'!$C$89/'Hipóteses xerais (2)'!$C$11)),(J40+J44+J49))</f>
        <v>3934.7950694400006</v>
      </c>
      <c r="K65" s="669">
        <f>IF('Hipóteses xerais (2)'!$C$94="Si",(K40+K44+K49+('Hipóteses xerais (2)'!$C$89/'Hipóteses xerais (2)'!$C$11)),(K40+K44+K49))</f>
        <v>4060.7085116620801</v>
      </c>
      <c r="L65" s="669">
        <f>IF('Hipóteses xerais (2)'!$C$94="Si",(L40+L44+L49+('Hipóteses xerais (2)'!$C$89/'Hipóteses xerais (2)'!$C$11)),(L40+L44+L49))</f>
        <v>4190.6511840352669</v>
      </c>
      <c r="M65" s="669">
        <f>IF('Hipóteses xerais (2)'!$C$94="Si",(M40+M44+M49+('Hipóteses xerais (2)'!$C$89/'Hipóteses xerais (2)'!$C$11)),(M40+M44+M49))</f>
        <v>4324.7520219243952</v>
      </c>
      <c r="N65" s="669">
        <f>IF('Hipóteses xerais (2)'!$C$94="Si",(N40+N44+N49+('Hipóteses xerais (2)'!$C$89/'Hipóteses xerais (2)'!$C$11)),(N40+N44+N49))</f>
        <v>4463.1440866259773</v>
      </c>
      <c r="O65" s="669">
        <f>IF('Hipóteses xerais (2)'!$C$94="Si",(O40+O44+O49+('Hipóteses xerais (2)'!$C$89/'Hipóteses xerais (2)'!$C$11)),(O40+O44+O49))</f>
        <v>4605.964697398008</v>
      </c>
      <c r="P65" s="669">
        <f>IF('Hipóteses xerais (2)'!$C$94="Si",(P40+P44+P49+('Hipóteses xerais (2)'!$C$89/'Hipóteses xerais (2)'!$C$11)),(P40+P44+P49))</f>
        <v>4753.3555677147442</v>
      </c>
      <c r="Q65" s="669">
        <f>IF('Hipóteses xerais (2)'!$C$94="Si",(Q40+Q44+Q49+('Hipóteses xerais (2)'!$C$89/'Hipóteses xerais (2)'!$C$11)),(Q40+Q44+Q49))</f>
        <v>4905.4629458816171</v>
      </c>
      <c r="R65" s="669">
        <f>IF('Hipóteses xerais (2)'!$C$94="Si",(R40+R44+R49+('Hipóteses xerais (2)'!$C$89/'Hipóteses xerais (2)'!$C$11)),(R40+R44+R49))</f>
        <v>5062.4377601498281</v>
      </c>
      <c r="S65" s="669">
        <f>IF('Hipóteses xerais (2)'!$C$94="Si",(S40+S44+S49+('Hipóteses xerais (2)'!$C$89/'Hipóteses xerais (2)'!$C$11)),(S40+S44+S49))</f>
        <v>5224.4357684746237</v>
      </c>
      <c r="T65" s="669">
        <f>IF('Hipóteses xerais (2)'!$C$94="Si",(T40+T44+T49+('Hipóteses xerais (2)'!$C$89/'Hipóteses xerais (2)'!$C$11)),(T40+T44+T49))</f>
        <v>5391.6177130658116</v>
      </c>
      <c r="U65" s="669">
        <f>IF('Hipóteses xerais (2)'!$C$94="Si",(U40+U44+U49+('Hipóteses xerais (2)'!$C$89/'Hipóteses xerais (2)'!$C$11)),(U40+U44+U49))</f>
        <v>5564.1494798839176</v>
      </c>
      <c r="V65" s="669">
        <f>IF('Hipóteses xerais (2)'!$C$94="Si",(V40+V44+V49+('Hipóteses xerais (2)'!$C$89/'Hipóteses xerais (2)'!$C$11)),(V40+V44+V49))</f>
        <v>5742.2022632402031</v>
      </c>
      <c r="W65" s="669">
        <f>IF('Hipóteses xerais (2)'!$C$94="Si",(W40+W44+W49+('Hipóteses xerais (2)'!$C$89/'Hipóteses xerais (2)'!$C$11)),(W40+W44+W49))</f>
        <v>5925.9527356638891</v>
      </c>
      <c r="X65" s="669">
        <f>IF('Hipóteses xerais (2)'!$C$94="Si",(X40+X44+X49+('Hipóteses xerais (2)'!$C$89/'Hipóteses xerais (2)'!$C$11)),(X40+X44+X49))</f>
        <v>6115.5832232051353</v>
      </c>
      <c r="Y65" s="669">
        <f>IF('Hipóteses xerais (2)'!$C$94="Si",(Y40+Y44+Y49+('Hipóteses xerais (2)'!$C$89/'Hipóteses xerais (2)'!$C$11)),(Y40+Y44+Y49))</f>
        <v>6311.2818863476987</v>
      </c>
      <c r="Z65" s="669">
        <f>IF('Hipóteses xerais (2)'!$C$94="Si",(Z40+Z44+Z49+('Hipóteses xerais (2)'!$C$89/'Hipóteses xerais (2)'!$C$11)),(Z40+Z44+Z49))</f>
        <v>6513.242906710826</v>
      </c>
      <c r="AA65" s="669">
        <f>IF('Hipóteses xerais (2)'!$C$94="Si",(AA40+AA44+AA49+('Hipóteses xerais (2)'!$C$89/'Hipóteses xerais (2)'!$C$11)),(AA40+AA44+AA49))</f>
        <v>6721.666679725573</v>
      </c>
      <c r="AB65" s="669">
        <f>IF('Hipóteses xerais (2)'!$C$94="Si",(AB40+AB44+AB49+('Hipóteses xerais (2)'!$C$89/'Hipóteses xerais (2)'!$C$11)),(AB40+AB44+AB49))</f>
        <v>6936.7600134767908</v>
      </c>
      <c r="AC65" s="669">
        <f>IF('Hipóteses xerais (2)'!$C$94="Si",(AC40+AC44+AC49+('Hipóteses xerais (2)'!$C$89/'Hipóteses xerais (2)'!$C$11)),(AC40+AC44+AC49))</f>
        <v>7158.7363339080475</v>
      </c>
      <c r="AD65" s="669">
        <f>IF('Hipóteses xerais (2)'!$C$94="Si",(AD40+AD44+AD49+('Hipóteses xerais (2)'!$C$89/'Hipóteses xerais (2)'!$C$11)),(AD40+AD44+AD49))</f>
        <v>7387.815896593107</v>
      </c>
      <c r="AE65" s="668">
        <f>SUM(F65:AD65)</f>
        <v>129972.53266512754</v>
      </c>
    </row>
    <row r="66" spans="3:31" ht="15" thickBot="1" x14ac:dyDescent="0.4">
      <c r="C66" s="667" t="s">
        <v>878</v>
      </c>
      <c r="D66" s="666"/>
      <c r="E66" s="666"/>
      <c r="F66" s="665">
        <f t="shared" ref="F66:AE66" si="24">F64-F65</f>
        <v>559.99999999999955</v>
      </c>
      <c r="G66" s="665">
        <f t="shared" si="24"/>
        <v>560</v>
      </c>
      <c r="H66" s="665">
        <f t="shared" si="24"/>
        <v>560</v>
      </c>
      <c r="I66" s="665">
        <f t="shared" si="24"/>
        <v>560</v>
      </c>
      <c r="J66" s="665">
        <f t="shared" si="24"/>
        <v>560</v>
      </c>
      <c r="K66" s="665">
        <f t="shared" si="24"/>
        <v>560</v>
      </c>
      <c r="L66" s="665">
        <f t="shared" si="24"/>
        <v>560</v>
      </c>
      <c r="M66" s="665">
        <f t="shared" si="24"/>
        <v>560</v>
      </c>
      <c r="N66" s="665">
        <f t="shared" si="24"/>
        <v>559.99999999999909</v>
      </c>
      <c r="O66" s="665">
        <f t="shared" si="24"/>
        <v>559.99999999999909</v>
      </c>
      <c r="P66" s="665">
        <f t="shared" si="24"/>
        <v>560</v>
      </c>
      <c r="Q66" s="665">
        <f t="shared" si="24"/>
        <v>560</v>
      </c>
      <c r="R66" s="665">
        <f t="shared" si="24"/>
        <v>559.99999999999909</v>
      </c>
      <c r="S66" s="665">
        <f t="shared" si="24"/>
        <v>560</v>
      </c>
      <c r="T66" s="665">
        <f t="shared" si="24"/>
        <v>560</v>
      </c>
      <c r="U66" s="665">
        <f t="shared" si="24"/>
        <v>560</v>
      </c>
      <c r="V66" s="665">
        <f t="shared" si="24"/>
        <v>560</v>
      </c>
      <c r="W66" s="665">
        <f t="shared" si="24"/>
        <v>560</v>
      </c>
      <c r="X66" s="665">
        <f t="shared" si="24"/>
        <v>560</v>
      </c>
      <c r="Y66" s="665">
        <f t="shared" si="24"/>
        <v>560</v>
      </c>
      <c r="Z66" s="665">
        <f t="shared" si="24"/>
        <v>560</v>
      </c>
      <c r="AA66" s="665">
        <f t="shared" si="24"/>
        <v>559.99999999999909</v>
      </c>
      <c r="AB66" s="665">
        <f t="shared" si="24"/>
        <v>560</v>
      </c>
      <c r="AC66" s="665">
        <f t="shared" si="24"/>
        <v>559.99999999999909</v>
      </c>
      <c r="AD66" s="665">
        <f t="shared" si="24"/>
        <v>559.99999999999909</v>
      </c>
      <c r="AE66" s="650">
        <f t="shared" si="24"/>
        <v>13999.999999999971</v>
      </c>
    </row>
    <row r="68" spans="3:31" x14ac:dyDescent="0.35">
      <c r="D68" s="150"/>
      <c r="E68" s="150"/>
      <c r="F68" s="150"/>
      <c r="G68" s="150"/>
    </row>
    <row r="69" spans="3:31" x14ac:dyDescent="0.35">
      <c r="C69" s="13" t="s">
        <v>877</v>
      </c>
      <c r="D69" s="664"/>
      <c r="E69" s="664"/>
    </row>
    <row r="70" spans="3:31" ht="15" thickBot="1" x14ac:dyDescent="0.4">
      <c r="D70" s="150"/>
      <c r="E70" s="150"/>
    </row>
    <row r="71" spans="3:31" ht="15" thickTop="1" x14ac:dyDescent="0.35">
      <c r="C71" s="649" t="s">
        <v>876</v>
      </c>
      <c r="D71" s="648"/>
      <c r="E71" s="648"/>
      <c r="F71" s="657">
        <f t="shared" ref="F71:AD71" si="25">F65</f>
        <v>3590.47</v>
      </c>
      <c r="G71" s="657">
        <f t="shared" si="25"/>
        <v>3580</v>
      </c>
      <c r="H71" s="657">
        <f t="shared" si="25"/>
        <v>3694.5599999999995</v>
      </c>
      <c r="I71" s="657">
        <f t="shared" si="25"/>
        <v>3812.7859200000003</v>
      </c>
      <c r="J71" s="657">
        <f t="shared" si="25"/>
        <v>3934.7950694400006</v>
      </c>
      <c r="K71" s="657">
        <f t="shared" si="25"/>
        <v>4060.7085116620801</v>
      </c>
      <c r="L71" s="657">
        <f t="shared" si="25"/>
        <v>4190.6511840352669</v>
      </c>
      <c r="M71" s="657">
        <f t="shared" si="25"/>
        <v>4324.7520219243952</v>
      </c>
      <c r="N71" s="657">
        <f t="shared" si="25"/>
        <v>4463.1440866259773</v>
      </c>
      <c r="O71" s="657">
        <f t="shared" si="25"/>
        <v>4605.964697398008</v>
      </c>
      <c r="P71" s="657">
        <f t="shared" si="25"/>
        <v>4753.3555677147442</v>
      </c>
      <c r="Q71" s="657">
        <f t="shared" si="25"/>
        <v>4905.4629458816171</v>
      </c>
      <c r="R71" s="657">
        <f t="shared" si="25"/>
        <v>5062.4377601498281</v>
      </c>
      <c r="S71" s="657">
        <f t="shared" si="25"/>
        <v>5224.4357684746237</v>
      </c>
      <c r="T71" s="657">
        <f t="shared" si="25"/>
        <v>5391.6177130658116</v>
      </c>
      <c r="U71" s="657">
        <f t="shared" si="25"/>
        <v>5564.1494798839176</v>
      </c>
      <c r="V71" s="657">
        <f t="shared" si="25"/>
        <v>5742.2022632402031</v>
      </c>
      <c r="W71" s="657">
        <f t="shared" si="25"/>
        <v>5925.9527356638891</v>
      </c>
      <c r="X71" s="657">
        <f t="shared" si="25"/>
        <v>6115.5832232051353</v>
      </c>
      <c r="Y71" s="657">
        <f t="shared" si="25"/>
        <v>6311.2818863476987</v>
      </c>
      <c r="Z71" s="657">
        <f t="shared" si="25"/>
        <v>6513.242906710826</v>
      </c>
      <c r="AA71" s="657">
        <f t="shared" si="25"/>
        <v>6721.666679725573</v>
      </c>
      <c r="AB71" s="657">
        <f t="shared" si="25"/>
        <v>6936.7600134767908</v>
      </c>
      <c r="AC71" s="657">
        <f t="shared" si="25"/>
        <v>7158.7363339080475</v>
      </c>
      <c r="AD71" s="657">
        <f t="shared" si="25"/>
        <v>7387.815896593107</v>
      </c>
      <c r="AE71" s="663">
        <f>SUM(F71:AD71)</f>
        <v>129972.53266512754</v>
      </c>
    </row>
    <row r="72" spans="3:31" x14ac:dyDescent="0.35">
      <c r="C72" s="662" t="s">
        <v>875</v>
      </c>
      <c r="D72" s="661"/>
      <c r="E72" s="661"/>
      <c r="F72" s="660">
        <f>IF('Hipóteses xerais (2)'!$E$64="Si",(('Hipóteses xerais (2)'!$C$62-('Hipóteses xerais (2)'!$C$91-'Hipóteses xerais (2)'!$F$35))/'Hipóteses xerais (2)'!$C$11), 0)</f>
        <v>1120</v>
      </c>
      <c r="G72" s="660">
        <f>IF('Hipóteses xerais (2)'!$E$64="Si",(('Hipóteses xerais (2)'!$C$62-('Hipóteses xerais (2)'!$C$91-'Hipóteses xerais (2)'!$F$35))/'Hipóteses xerais (2)'!$C$11), 0)</f>
        <v>1120</v>
      </c>
      <c r="H72" s="660">
        <f>IF('Hipóteses xerais (2)'!$E$64="Si",(('Hipóteses xerais (2)'!$C$62-('Hipóteses xerais (2)'!$C$91-'Hipóteses xerais (2)'!$F$35))/'Hipóteses xerais (2)'!$C$11), 0)</f>
        <v>1120</v>
      </c>
      <c r="I72" s="660">
        <f>IF('Hipóteses xerais (2)'!$E$64="Si",(('Hipóteses xerais (2)'!$C$62-('Hipóteses xerais (2)'!$C$91-'Hipóteses xerais (2)'!$F$35))/'Hipóteses xerais (2)'!$C$11), 0)</f>
        <v>1120</v>
      </c>
      <c r="J72" s="660">
        <f>IF('Hipóteses xerais (2)'!$E$64="Si",(('Hipóteses xerais (2)'!$C$62-('Hipóteses xerais (2)'!$C$91-'Hipóteses xerais (2)'!$F$35))/'Hipóteses xerais (2)'!$C$11), 0)</f>
        <v>1120</v>
      </c>
      <c r="K72" s="660">
        <f>IF('Hipóteses xerais (2)'!$E$64="Si",(('Hipóteses xerais (2)'!$C$62-('Hipóteses xerais (2)'!$C$91-'Hipóteses xerais (2)'!$F$35))/'Hipóteses xerais (2)'!$C$11), 0)</f>
        <v>1120</v>
      </c>
      <c r="L72" s="660">
        <f>IF('Hipóteses xerais (2)'!$E$64="Si",(('Hipóteses xerais (2)'!$C$62-('Hipóteses xerais (2)'!$C$91-'Hipóteses xerais (2)'!$F$35))/'Hipóteses xerais (2)'!$C$11), 0)</f>
        <v>1120</v>
      </c>
      <c r="M72" s="660">
        <f>IF('Hipóteses xerais (2)'!$E$64="Si",(('Hipóteses xerais (2)'!$C$62-('Hipóteses xerais (2)'!$C$91-'Hipóteses xerais (2)'!$F$35))/'Hipóteses xerais (2)'!$C$11), 0)</f>
        <v>1120</v>
      </c>
      <c r="N72" s="660">
        <f>IF('Hipóteses xerais (2)'!$E$64="Si",(('Hipóteses xerais (2)'!$C$62-('Hipóteses xerais (2)'!$C$91-'Hipóteses xerais (2)'!$F$35))/'Hipóteses xerais (2)'!$C$11), 0)</f>
        <v>1120</v>
      </c>
      <c r="O72" s="660">
        <f>IF('Hipóteses xerais (2)'!$E$64="Si",(('Hipóteses xerais (2)'!$C$62-('Hipóteses xerais (2)'!$C$91-'Hipóteses xerais (2)'!$F$35))/'Hipóteses xerais (2)'!$C$11), 0)</f>
        <v>1120</v>
      </c>
      <c r="P72" s="660">
        <f>IF('Hipóteses xerais (2)'!$E$64="Si",(('Hipóteses xerais (2)'!$C$62-('Hipóteses xerais (2)'!$C$91-'Hipóteses xerais (2)'!$F$35))/'Hipóteses xerais (2)'!$C$11), 0)</f>
        <v>1120</v>
      </c>
      <c r="Q72" s="660">
        <f>IF('Hipóteses xerais (2)'!$E$64="Si",(('Hipóteses xerais (2)'!$C$62-('Hipóteses xerais (2)'!$C$91-'Hipóteses xerais (2)'!$F$35))/'Hipóteses xerais (2)'!$C$11), 0)</f>
        <v>1120</v>
      </c>
      <c r="R72" s="660">
        <f>IF('Hipóteses xerais (2)'!$E$64="Si",(('Hipóteses xerais (2)'!$C$62-('Hipóteses xerais (2)'!$C$91-'Hipóteses xerais (2)'!$F$35))/'Hipóteses xerais (2)'!$C$11), 0)</f>
        <v>1120</v>
      </c>
      <c r="S72" s="660">
        <f>IF('Hipóteses xerais (2)'!$E$64="Si",(('Hipóteses xerais (2)'!$C$62-('Hipóteses xerais (2)'!$C$91-'Hipóteses xerais (2)'!$F$35))/'Hipóteses xerais (2)'!$C$11), 0)</f>
        <v>1120</v>
      </c>
      <c r="T72" s="660">
        <f>IF('Hipóteses xerais (2)'!$E$64="Si",(('Hipóteses xerais (2)'!$C$62-('Hipóteses xerais (2)'!$C$91-'Hipóteses xerais (2)'!$F$35))/'Hipóteses xerais (2)'!$C$11), 0)</f>
        <v>1120</v>
      </c>
      <c r="U72" s="660">
        <f>IF('Hipóteses xerais (2)'!$E$64="Si",(('Hipóteses xerais (2)'!$C$62-('Hipóteses xerais (2)'!$C$91-'Hipóteses xerais (2)'!$F$35))/'Hipóteses xerais (2)'!$C$11), 0)</f>
        <v>1120</v>
      </c>
      <c r="V72" s="660">
        <f>IF('Hipóteses xerais (2)'!$E$64="Si",(('Hipóteses xerais (2)'!$C$62-('Hipóteses xerais (2)'!$C$91-'Hipóteses xerais (2)'!$F$35))/'Hipóteses xerais (2)'!$C$11), 0)</f>
        <v>1120</v>
      </c>
      <c r="W72" s="660">
        <f>IF('Hipóteses xerais (2)'!$E$64="Si",(('Hipóteses xerais (2)'!$C$62-('Hipóteses xerais (2)'!$C$91-'Hipóteses xerais (2)'!$F$35))/'Hipóteses xerais (2)'!$C$11), 0)</f>
        <v>1120</v>
      </c>
      <c r="X72" s="660">
        <f>IF('Hipóteses xerais (2)'!$E$64="Si",(('Hipóteses xerais (2)'!$C$62-('Hipóteses xerais (2)'!$C$91-'Hipóteses xerais (2)'!$F$35))/'Hipóteses xerais (2)'!$C$11), 0)</f>
        <v>1120</v>
      </c>
      <c r="Y72" s="660">
        <f>IF('Hipóteses xerais (2)'!$E$64="Si",(('Hipóteses xerais (2)'!$C$62-('Hipóteses xerais (2)'!$C$91-'Hipóteses xerais (2)'!$F$35))/'Hipóteses xerais (2)'!$C$11), 0)</f>
        <v>1120</v>
      </c>
      <c r="Z72" s="660">
        <f>IF('Hipóteses xerais (2)'!$E$64="Si",(('Hipóteses xerais (2)'!$C$62-('Hipóteses xerais (2)'!$C$91-'Hipóteses xerais (2)'!$F$35))/'Hipóteses xerais (2)'!$C$11), 0)</f>
        <v>1120</v>
      </c>
      <c r="AA72" s="660">
        <f>IF('Hipóteses xerais (2)'!$E$64="Si",(('Hipóteses xerais (2)'!$C$62-('Hipóteses xerais (2)'!$C$91-'Hipóteses xerais (2)'!$F$35))/'Hipóteses xerais (2)'!$C$11), 0)</f>
        <v>1120</v>
      </c>
      <c r="AB72" s="660">
        <f>IF('Hipóteses xerais (2)'!$E$64="Si",(('Hipóteses xerais (2)'!$C$62-('Hipóteses xerais (2)'!$C$91-'Hipóteses xerais (2)'!$F$35))/'Hipóteses xerais (2)'!$C$11), 0)</f>
        <v>1120</v>
      </c>
      <c r="AC72" s="660">
        <f>IF('Hipóteses xerais (2)'!$E$64="Si",(('Hipóteses xerais (2)'!$C$62-('Hipóteses xerais (2)'!$C$91-'Hipóteses xerais (2)'!$F$35))/'Hipóteses xerais (2)'!$C$11), 0)</f>
        <v>1120</v>
      </c>
      <c r="AD72" s="660">
        <f>IF('Hipóteses xerais (2)'!$E$64="Si",(('Hipóteses xerais (2)'!$C$62-('Hipóteses xerais (2)'!$C$91-'Hipóteses xerais (2)'!$F$35))/'Hipóteses xerais (2)'!$C$11), 0)</f>
        <v>1120</v>
      </c>
      <c r="AE72" s="659">
        <f>SUM(F72:AD72)</f>
        <v>28000</v>
      </c>
    </row>
    <row r="73" spans="3:31" x14ac:dyDescent="0.35">
      <c r="C73" s="649" t="s">
        <v>874</v>
      </c>
      <c r="D73" s="648"/>
      <c r="E73" s="648"/>
      <c r="F73" s="658">
        <f t="shared" ref="F73:AE73" si="26">F71-F72</f>
        <v>2470.4699999999998</v>
      </c>
      <c r="G73" s="658">
        <f t="shared" si="26"/>
        <v>2460</v>
      </c>
      <c r="H73" s="658">
        <f t="shared" si="26"/>
        <v>2574.5599999999995</v>
      </c>
      <c r="I73" s="658">
        <f t="shared" si="26"/>
        <v>2692.7859200000003</v>
      </c>
      <c r="J73" s="658">
        <f t="shared" si="26"/>
        <v>2814.7950694400006</v>
      </c>
      <c r="K73" s="658">
        <f t="shared" si="26"/>
        <v>2940.7085116620801</v>
      </c>
      <c r="L73" s="658">
        <f t="shared" si="26"/>
        <v>3070.6511840352669</v>
      </c>
      <c r="M73" s="658">
        <f t="shared" si="26"/>
        <v>3204.7520219243952</v>
      </c>
      <c r="N73" s="658">
        <f t="shared" si="26"/>
        <v>3343.1440866259773</v>
      </c>
      <c r="O73" s="658">
        <f t="shared" si="26"/>
        <v>3485.964697398008</v>
      </c>
      <c r="P73" s="658">
        <f t="shared" si="26"/>
        <v>3633.3555677147442</v>
      </c>
      <c r="Q73" s="658">
        <f t="shared" si="26"/>
        <v>3785.4629458816171</v>
      </c>
      <c r="R73" s="658">
        <f t="shared" si="26"/>
        <v>3942.4377601498281</v>
      </c>
      <c r="S73" s="658">
        <f t="shared" si="26"/>
        <v>4104.4357684746237</v>
      </c>
      <c r="T73" s="658">
        <f t="shared" si="26"/>
        <v>4271.6177130658116</v>
      </c>
      <c r="U73" s="658">
        <f t="shared" si="26"/>
        <v>4444.1494798839176</v>
      </c>
      <c r="V73" s="658">
        <f t="shared" si="26"/>
        <v>4622.2022632402031</v>
      </c>
      <c r="W73" s="658">
        <f t="shared" si="26"/>
        <v>4805.9527356638891</v>
      </c>
      <c r="X73" s="658">
        <f t="shared" si="26"/>
        <v>4995.5832232051353</v>
      </c>
      <c r="Y73" s="658">
        <f t="shared" si="26"/>
        <v>5191.2818863476987</v>
      </c>
      <c r="Z73" s="658">
        <f t="shared" si="26"/>
        <v>5393.242906710826</v>
      </c>
      <c r="AA73" s="658">
        <f t="shared" si="26"/>
        <v>5601.666679725573</v>
      </c>
      <c r="AB73" s="658">
        <f t="shared" si="26"/>
        <v>5816.7600134767908</v>
      </c>
      <c r="AC73" s="658">
        <f t="shared" si="26"/>
        <v>6038.7363339080475</v>
      </c>
      <c r="AD73" s="657">
        <f t="shared" si="26"/>
        <v>6267.815896593107</v>
      </c>
      <c r="AE73" s="656">
        <f t="shared" si="26"/>
        <v>101972.53266512754</v>
      </c>
    </row>
    <row r="74" spans="3:31" x14ac:dyDescent="0.35">
      <c r="C74" s="649" t="s">
        <v>873</v>
      </c>
      <c r="D74" s="648"/>
      <c r="E74" s="648"/>
      <c r="F74" s="648">
        <f>'Hipóteses xerais (2)'!$F$39</f>
        <v>25</v>
      </c>
      <c r="G74" s="648">
        <f>'Hipóteses xerais (2)'!$F$39</f>
        <v>25</v>
      </c>
      <c r="H74" s="648">
        <f>'Hipóteses xerais (2)'!$F$39</f>
        <v>25</v>
      </c>
      <c r="I74" s="648">
        <f>'Hipóteses xerais (2)'!$F$39</f>
        <v>25</v>
      </c>
      <c r="J74" s="648">
        <f>'Hipóteses xerais (2)'!$F$39</f>
        <v>25</v>
      </c>
      <c r="K74" s="648">
        <f>'Hipóteses xerais (2)'!$F$39</f>
        <v>25</v>
      </c>
      <c r="L74" s="648">
        <f>'Hipóteses xerais (2)'!$F$39</f>
        <v>25</v>
      </c>
      <c r="M74" s="648">
        <f>'Hipóteses xerais (2)'!$F$39</f>
        <v>25</v>
      </c>
      <c r="N74" s="648">
        <f>'Hipóteses xerais (2)'!$F$39</f>
        <v>25</v>
      </c>
      <c r="O74" s="648">
        <f>'Hipóteses xerais (2)'!$F$39</f>
        <v>25</v>
      </c>
      <c r="P74" s="648">
        <f>'Hipóteses xerais (2)'!$F$39</f>
        <v>25</v>
      </c>
      <c r="Q74" s="648">
        <f>'Hipóteses xerais (2)'!$F$39</f>
        <v>25</v>
      </c>
      <c r="R74" s="648">
        <f>'Hipóteses xerais (2)'!$F$39</f>
        <v>25</v>
      </c>
      <c r="S74" s="648">
        <f>'Hipóteses xerais (2)'!$F$39</f>
        <v>25</v>
      </c>
      <c r="T74" s="648">
        <f>'Hipóteses xerais (2)'!$F$39</f>
        <v>25</v>
      </c>
      <c r="U74" s="648">
        <f>'Hipóteses xerais (2)'!$F$39</f>
        <v>25</v>
      </c>
      <c r="V74" s="648">
        <f>'Hipóteses xerais (2)'!$F$39</f>
        <v>25</v>
      </c>
      <c r="W74" s="648">
        <f>'Hipóteses xerais (2)'!$F$39</f>
        <v>25</v>
      </c>
      <c r="X74" s="648">
        <f>'Hipóteses xerais (2)'!$F$39</f>
        <v>25</v>
      </c>
      <c r="Y74" s="648">
        <f>'Hipóteses xerais (2)'!$F$39</f>
        <v>25</v>
      </c>
      <c r="Z74" s="648">
        <f>'Hipóteses xerais (2)'!$F$39</f>
        <v>25</v>
      </c>
      <c r="AA74" s="648">
        <f>'Hipóteses xerais (2)'!$F$39</f>
        <v>25</v>
      </c>
      <c r="AB74" s="648">
        <f>'Hipóteses xerais (2)'!$F$39</f>
        <v>25</v>
      </c>
      <c r="AC74" s="648">
        <f>'Hipóteses xerais (2)'!$F$39</f>
        <v>25</v>
      </c>
      <c r="AD74" s="648">
        <f>'Hipóteses xerais (2)'!$F$39</f>
        <v>25</v>
      </c>
      <c r="AE74" s="655">
        <f>'Hipóteses xerais (2)'!$F$39</f>
        <v>25</v>
      </c>
    </row>
    <row r="75" spans="3:31" ht="15" thickBot="1" x14ac:dyDescent="0.4">
      <c r="C75" s="654" t="s">
        <v>872</v>
      </c>
      <c r="F75" s="150">
        <f t="shared" ref="F75:AE75" si="27">F73/F74</f>
        <v>98.818799999999996</v>
      </c>
      <c r="G75" s="150">
        <f t="shared" si="27"/>
        <v>98.4</v>
      </c>
      <c r="H75" s="150">
        <f t="shared" si="27"/>
        <v>102.98239999999998</v>
      </c>
      <c r="I75" s="150">
        <f t="shared" si="27"/>
        <v>107.71143680000002</v>
      </c>
      <c r="J75" s="150">
        <f t="shared" si="27"/>
        <v>112.59180277760002</v>
      </c>
      <c r="K75" s="150">
        <f t="shared" si="27"/>
        <v>117.62834046648321</v>
      </c>
      <c r="L75" s="150">
        <f t="shared" si="27"/>
        <v>122.82604736141067</v>
      </c>
      <c r="M75" s="150">
        <f t="shared" si="27"/>
        <v>128.1900808769758</v>
      </c>
      <c r="N75" s="150">
        <f t="shared" si="27"/>
        <v>133.72576346503908</v>
      </c>
      <c r="O75" s="150">
        <f t="shared" si="27"/>
        <v>139.43858789592031</v>
      </c>
      <c r="P75" s="150">
        <f t="shared" si="27"/>
        <v>145.33422270858978</v>
      </c>
      <c r="Q75" s="150">
        <f t="shared" si="27"/>
        <v>151.41851783526468</v>
      </c>
      <c r="R75" s="150">
        <f t="shared" si="27"/>
        <v>157.69751040599311</v>
      </c>
      <c r="S75" s="150">
        <f t="shared" si="27"/>
        <v>164.17743073898495</v>
      </c>
      <c r="T75" s="150">
        <f t="shared" si="27"/>
        <v>170.86470852263247</v>
      </c>
      <c r="U75" s="150">
        <f t="shared" si="27"/>
        <v>177.76597919535669</v>
      </c>
      <c r="V75" s="150">
        <f t="shared" si="27"/>
        <v>184.88809052960812</v>
      </c>
      <c r="W75" s="150">
        <f t="shared" si="27"/>
        <v>192.23810942655555</v>
      </c>
      <c r="X75" s="150">
        <f t="shared" si="27"/>
        <v>199.8233289282054</v>
      </c>
      <c r="Y75" s="150">
        <f t="shared" si="27"/>
        <v>207.65127545390794</v>
      </c>
      <c r="Z75" s="150">
        <f t="shared" si="27"/>
        <v>215.72971626843304</v>
      </c>
      <c r="AA75" s="150">
        <f t="shared" si="27"/>
        <v>224.06666718902292</v>
      </c>
      <c r="AB75" s="150">
        <f t="shared" si="27"/>
        <v>232.67040053907164</v>
      </c>
      <c r="AC75" s="150">
        <f t="shared" si="27"/>
        <v>241.54945335632189</v>
      </c>
      <c r="AD75" s="150">
        <f t="shared" si="27"/>
        <v>250.71263586372427</v>
      </c>
      <c r="AE75" s="653">
        <f t="shared" si="27"/>
        <v>4078.9013066051016</v>
      </c>
    </row>
    <row r="76" spans="3:31" ht="15" thickBot="1" x14ac:dyDescent="0.4">
      <c r="C76" s="645" t="s">
        <v>871</v>
      </c>
      <c r="D76" s="644"/>
      <c r="E76" s="644"/>
      <c r="F76" s="652">
        <f t="shared" ref="F76:AE76" si="28">F75/12</f>
        <v>8.2348999999999997</v>
      </c>
      <c r="G76" s="652">
        <f t="shared" si="28"/>
        <v>8.2000000000000011</v>
      </c>
      <c r="H76" s="652">
        <f t="shared" si="28"/>
        <v>8.5818666666666648</v>
      </c>
      <c r="I76" s="652">
        <f t="shared" si="28"/>
        <v>8.9759530666666674</v>
      </c>
      <c r="J76" s="652">
        <f t="shared" si="28"/>
        <v>9.382650231466668</v>
      </c>
      <c r="K76" s="652">
        <f t="shared" si="28"/>
        <v>9.8023617055402674</v>
      </c>
      <c r="L76" s="652">
        <f t="shared" si="28"/>
        <v>10.235503946784222</v>
      </c>
      <c r="M76" s="652">
        <f t="shared" si="28"/>
        <v>10.682506739747984</v>
      </c>
      <c r="N76" s="652">
        <f t="shared" si="28"/>
        <v>11.14381362208659</v>
      </c>
      <c r="O76" s="652">
        <f t="shared" si="28"/>
        <v>11.619882324660026</v>
      </c>
      <c r="P76" s="652">
        <f t="shared" si="28"/>
        <v>12.111185225715815</v>
      </c>
      <c r="Q76" s="652">
        <f t="shared" si="28"/>
        <v>12.61820981960539</v>
      </c>
      <c r="R76" s="652">
        <f t="shared" si="28"/>
        <v>13.141459200499426</v>
      </c>
      <c r="S76" s="652">
        <f t="shared" si="28"/>
        <v>13.681452561582079</v>
      </c>
      <c r="T76" s="652">
        <f t="shared" si="28"/>
        <v>14.238725710219372</v>
      </c>
      <c r="U76" s="652">
        <f t="shared" si="28"/>
        <v>14.813831599613058</v>
      </c>
      <c r="V76" s="652">
        <f t="shared" si="28"/>
        <v>15.407340877467343</v>
      </c>
      <c r="W76" s="652">
        <f t="shared" si="28"/>
        <v>16.019842452212963</v>
      </c>
      <c r="X76" s="652">
        <f t="shared" si="28"/>
        <v>16.65194407735045</v>
      </c>
      <c r="Y76" s="652">
        <f t="shared" si="28"/>
        <v>17.30427295449233</v>
      </c>
      <c r="Z76" s="652">
        <f t="shared" si="28"/>
        <v>17.977476355702752</v>
      </c>
      <c r="AA76" s="652">
        <f t="shared" si="28"/>
        <v>18.672222265751909</v>
      </c>
      <c r="AB76" s="652">
        <f t="shared" si="28"/>
        <v>19.389200044922635</v>
      </c>
      <c r="AC76" s="652">
        <f t="shared" si="28"/>
        <v>20.129121113026823</v>
      </c>
      <c r="AD76" s="651">
        <f t="shared" si="28"/>
        <v>20.892719655310355</v>
      </c>
      <c r="AE76" s="650">
        <f t="shared" si="28"/>
        <v>339.90844221709182</v>
      </c>
    </row>
    <row r="77" spans="3:31" x14ac:dyDescent="0.35">
      <c r="AE77" s="150">
        <f>AE76/'Hipóteses xerais (2)'!$C$11</f>
        <v>13.596337688683672</v>
      </c>
    </row>
    <row r="78" spans="3:31" ht="15" thickBot="1" x14ac:dyDescent="0.4"/>
    <row r="79" spans="3:31" ht="15.5" thickTop="1" thickBot="1" x14ac:dyDescent="0.4">
      <c r="C79" s="649" t="s">
        <v>870</v>
      </c>
      <c r="D79" s="648"/>
      <c r="E79" s="648"/>
      <c r="F79" s="647">
        <f>MIN('Hipóteses xerais (2)'!$C$35*1000,'Hipóteses xerais (2)'!$C$70*'Hipóteses xerais (2)'!$I$52*'Hipóteses xerais (2)'!$I$53)</f>
        <v>88323</v>
      </c>
      <c r="G79" s="647">
        <f>MIN('Hipóteses xerais (2)'!$C$35*1000,'Hipóteses xerais (2)'!$C$70*'Hipóteses xerais (2)'!$I$52*'Hipóteses xerais (2)'!$I$53)</f>
        <v>88323</v>
      </c>
      <c r="H79" s="647">
        <f>MIN('Hipóteses xerais (2)'!$C$35*1000,'Hipóteses xerais (2)'!$C$70*'Hipóteses xerais (2)'!$I$52*'Hipóteses xerais (2)'!$I$53)</f>
        <v>88323</v>
      </c>
      <c r="I79" s="647">
        <f>MIN('Hipóteses xerais (2)'!$C$35*1000,'Hipóteses xerais (2)'!$C$70*'Hipóteses xerais (2)'!$I$52*'Hipóteses xerais (2)'!$I$53)</f>
        <v>88323</v>
      </c>
      <c r="J79" s="647">
        <f>MIN('Hipóteses xerais (2)'!$C$35*1000,'Hipóteses xerais (2)'!$C$70*'Hipóteses xerais (2)'!$I$52*'Hipóteses xerais (2)'!$I$53)</f>
        <v>88323</v>
      </c>
      <c r="K79" s="647">
        <f>MIN('Hipóteses xerais (2)'!$C$35*1000,'Hipóteses xerais (2)'!$C$70*'Hipóteses xerais (2)'!$I$52*'Hipóteses xerais (2)'!$I$53)</f>
        <v>88323</v>
      </c>
      <c r="L79" s="647">
        <f>MIN('Hipóteses xerais (2)'!$C$35*1000,'Hipóteses xerais (2)'!$C$70*'Hipóteses xerais (2)'!$I$52*'Hipóteses xerais (2)'!$I$53)</f>
        <v>88323</v>
      </c>
      <c r="M79" s="647">
        <f>MIN('Hipóteses xerais (2)'!$C$35*1000,'Hipóteses xerais (2)'!$C$70*'Hipóteses xerais (2)'!$I$52*'Hipóteses xerais (2)'!$I$53)</f>
        <v>88323</v>
      </c>
      <c r="N79" s="647">
        <f>MIN('Hipóteses xerais (2)'!$C$35*1000,'Hipóteses xerais (2)'!$C$70*'Hipóteses xerais (2)'!$I$52*'Hipóteses xerais (2)'!$I$53)</f>
        <v>88323</v>
      </c>
      <c r="O79" s="647">
        <f>MIN('Hipóteses xerais (2)'!$C$35*1000,'Hipóteses xerais (2)'!$C$70*'Hipóteses xerais (2)'!$I$52*'Hipóteses xerais (2)'!$I$53)</f>
        <v>88323</v>
      </c>
      <c r="P79" s="647">
        <f>MIN('Hipóteses xerais (2)'!$C$35*1000,'Hipóteses xerais (2)'!$C$70*'Hipóteses xerais (2)'!$I$52*'Hipóteses xerais (2)'!$I$53)</f>
        <v>88323</v>
      </c>
      <c r="Q79" s="647">
        <f>MIN('Hipóteses xerais (2)'!$C$35*1000,'Hipóteses xerais (2)'!$C$70*'Hipóteses xerais (2)'!$I$52*'Hipóteses xerais (2)'!$I$53)</f>
        <v>88323</v>
      </c>
      <c r="R79" s="647">
        <f>MIN('Hipóteses xerais (2)'!$C$35*1000,'Hipóteses xerais (2)'!$C$70*'Hipóteses xerais (2)'!$I$52*'Hipóteses xerais (2)'!$I$53)</f>
        <v>88323</v>
      </c>
      <c r="S79" s="647">
        <f>MIN('Hipóteses xerais (2)'!$C$35*1000,'Hipóteses xerais (2)'!$C$70*'Hipóteses xerais (2)'!$I$52*'Hipóteses xerais (2)'!$I$53)</f>
        <v>88323</v>
      </c>
      <c r="T79" s="647">
        <f>MIN('Hipóteses xerais (2)'!$C$35*1000,'Hipóteses xerais (2)'!$C$70*'Hipóteses xerais (2)'!$I$52*'Hipóteses xerais (2)'!$I$53)</f>
        <v>88323</v>
      </c>
      <c r="U79" s="647">
        <f>MIN('Hipóteses xerais (2)'!$C$35*1000,'Hipóteses xerais (2)'!$C$70*'Hipóteses xerais (2)'!$I$52*'Hipóteses xerais (2)'!$I$53)</f>
        <v>88323</v>
      </c>
      <c r="V79" s="647">
        <f>MIN('Hipóteses xerais (2)'!$C$35*1000,'Hipóteses xerais (2)'!$C$70*'Hipóteses xerais (2)'!$I$52*'Hipóteses xerais (2)'!$I$53)</f>
        <v>88323</v>
      </c>
      <c r="W79" s="647">
        <f>MIN('Hipóteses xerais (2)'!$C$35*1000,'Hipóteses xerais (2)'!$C$70*'Hipóteses xerais (2)'!$I$52*'Hipóteses xerais (2)'!$I$53)</f>
        <v>88323</v>
      </c>
      <c r="X79" s="647">
        <f>MIN('Hipóteses xerais (2)'!$C$35*1000,'Hipóteses xerais (2)'!$C$70*'Hipóteses xerais (2)'!$I$52*'Hipóteses xerais (2)'!$I$53)</f>
        <v>88323</v>
      </c>
      <c r="Y79" s="647">
        <f>MIN('Hipóteses xerais (2)'!$C$35*1000,'Hipóteses xerais (2)'!$C$70*'Hipóteses xerais (2)'!$I$52*'Hipóteses xerais (2)'!$I$53)</f>
        <v>88323</v>
      </c>
      <c r="Z79" s="647">
        <f>MIN('Hipóteses xerais (2)'!$C$35*1000,'Hipóteses xerais (2)'!$C$70*'Hipóteses xerais (2)'!$I$52*'Hipóteses xerais (2)'!$I$53)</f>
        <v>88323</v>
      </c>
      <c r="AA79" s="647">
        <f>MIN('Hipóteses xerais (2)'!$C$35*1000,'Hipóteses xerais (2)'!$C$70*'Hipóteses xerais (2)'!$I$52*'Hipóteses xerais (2)'!$I$53)</f>
        <v>88323</v>
      </c>
      <c r="AB79" s="647">
        <f>MIN('Hipóteses xerais (2)'!$C$35*1000,'Hipóteses xerais (2)'!$C$70*'Hipóteses xerais (2)'!$I$52*'Hipóteses xerais (2)'!$I$53)</f>
        <v>88323</v>
      </c>
      <c r="AC79" s="647">
        <f>MIN('Hipóteses xerais (2)'!$C$35*1000,'Hipóteses xerais (2)'!$C$70*'Hipóteses xerais (2)'!$I$52*'Hipóteses xerais (2)'!$I$53)</f>
        <v>88323</v>
      </c>
      <c r="AD79" s="647">
        <f>MIN('Hipóteses xerais (2)'!$C$35*1000,'Hipóteses xerais (2)'!$C$70*'Hipóteses xerais (2)'!$I$52*'Hipóteses xerais (2)'!$I$53)</f>
        <v>88323</v>
      </c>
      <c r="AE79" s="646">
        <f>SUM(F79:AD79)</f>
        <v>2208075</v>
      </c>
    </row>
    <row r="80" spans="3:31" ht="15" thickBot="1" x14ac:dyDescent="0.4">
      <c r="C80" s="645" t="s">
        <v>869</v>
      </c>
      <c r="D80" s="644"/>
      <c r="E80" s="644"/>
      <c r="F80" s="643">
        <f t="shared" ref="F80:AE80" si="29">F73/F79</f>
        <v>2.7970856968173634E-2</v>
      </c>
      <c r="G80" s="643">
        <f t="shared" si="29"/>
        <v>2.7852314799089704E-2</v>
      </c>
      <c r="H80" s="643">
        <f t="shared" si="29"/>
        <v>2.9149372190709098E-2</v>
      </c>
      <c r="I80" s="643">
        <f t="shared" si="29"/>
        <v>3.0487935418860322E-2</v>
      </c>
      <c r="J80" s="643">
        <f t="shared" si="29"/>
        <v>3.1869332670312382E-2</v>
      </c>
      <c r="K80" s="643">
        <f t="shared" si="29"/>
        <v>3.3294934633810898E-2</v>
      </c>
      <c r="L80" s="643">
        <f t="shared" si="29"/>
        <v>3.4766155860141375E-2</v>
      </c>
      <c r="M80" s="643">
        <f t="shared" si="29"/>
        <v>3.6284456165714428E-2</v>
      </c>
      <c r="N80" s="643">
        <f t="shared" si="29"/>
        <v>3.7851342081065831E-2</v>
      </c>
      <c r="O80" s="643">
        <f t="shared" si="29"/>
        <v>3.9468368345708459E-2</v>
      </c>
      <c r="P80" s="643">
        <f t="shared" si="29"/>
        <v>4.1137139450819656E-2</v>
      </c>
      <c r="Q80" s="643">
        <f t="shared" si="29"/>
        <v>4.2859311231294418E-2</v>
      </c>
      <c r="R80" s="643">
        <f t="shared" si="29"/>
        <v>4.4636592508744362E-2</v>
      </c>
      <c r="S80" s="643">
        <f t="shared" si="29"/>
        <v>4.647074678707272E-2</v>
      </c>
      <c r="T80" s="643">
        <f t="shared" si="29"/>
        <v>4.8363594002307574E-2</v>
      </c>
      <c r="U80" s="643">
        <f t="shared" si="29"/>
        <v>5.0317012328429937E-2</v>
      </c>
      <c r="V80" s="643">
        <f t="shared" si="29"/>
        <v>5.2332940040988228E-2</v>
      </c>
      <c r="W80" s="643">
        <f t="shared" si="29"/>
        <v>5.4413377440348368E-2</v>
      </c>
      <c r="X80" s="643">
        <f t="shared" si="29"/>
        <v>5.6560388836488062E-2</v>
      </c>
      <c r="Y80" s="643">
        <f t="shared" si="29"/>
        <v>5.8776104597304195E-2</v>
      </c>
      <c r="Z80" s="643">
        <f t="shared" si="29"/>
        <v>6.1062723262466471E-2</v>
      </c>
      <c r="AA80" s="643">
        <f t="shared" si="29"/>
        <v>6.3422513724913934E-2</v>
      </c>
      <c r="AB80" s="643">
        <f t="shared" si="29"/>
        <v>6.58578174821597E-2</v>
      </c>
      <c r="AC80" s="643">
        <f t="shared" si="29"/>
        <v>6.8371050959637331E-2</v>
      </c>
      <c r="AD80" s="642">
        <f t="shared" si="29"/>
        <v>7.0964707908394264E-2</v>
      </c>
      <c r="AE80" s="641">
        <f t="shared" si="29"/>
        <v>4.6181643587798214E-2</v>
      </c>
    </row>
    <row r="81" spans="3:31" ht="15" thickBot="1" x14ac:dyDescent="0.4"/>
    <row r="82" spans="3:31" ht="15" thickBot="1" x14ac:dyDescent="0.4">
      <c r="C82" s="606" t="s">
        <v>868</v>
      </c>
      <c r="D82" s="605" t="s">
        <v>851</v>
      </c>
      <c r="E82" s="604" t="s">
        <v>850</v>
      </c>
    </row>
    <row r="83" spans="3:31" ht="29.5" thickBot="1" x14ac:dyDescent="0.4">
      <c r="C83" s="603" t="s">
        <v>867</v>
      </c>
      <c r="D83" s="602">
        <f>($F$80*'Hipóteses xerais (2)'!$I$52*'Hipóteses xerais (2)'!$C$70)/12</f>
        <v>8.2348999999999997</v>
      </c>
      <c r="E83" s="601">
        <f>($F$80*'Hipóteses xerais (2)'!$I$52*'Hipóteses xerais (2)'!$C$70)</f>
        <v>98.818799999999996</v>
      </c>
      <c r="F83" s="6"/>
      <c r="G83" s="6"/>
    </row>
    <row r="84" spans="3:31" ht="15" thickBot="1" x14ac:dyDescent="0.4"/>
    <row r="85" spans="3:31" ht="15.5" thickTop="1" thickBot="1" x14ac:dyDescent="0.4">
      <c r="D85" s="640" t="s">
        <v>866</v>
      </c>
      <c r="E85" s="639"/>
      <c r="F85" s="638">
        <f>F9+(IF('Hipóteses xerais (2)'!$C$94="Si",('Hipóteses xerais (2)'!$C$89/'Hipóteses xerais (2)'!$C$11),0))</f>
        <v>6699</v>
      </c>
      <c r="G85" s="638">
        <f>G9+(IF('Hipóteses xerais (2)'!$C$94="Si",('Hipóteses xerais (2)'!$C$89/'Hipóteses xerais (2)'!$C$11),0))</f>
        <v>6906.6689999999999</v>
      </c>
      <c r="H85" s="638">
        <f>H9+(IF('Hipóteses xerais (2)'!$C$94="Si",('Hipóteses xerais (2)'!$C$89/'Hipóteses xerais (2)'!$C$11),0))</f>
        <v>7120.7757389999997</v>
      </c>
      <c r="I85" s="638">
        <f>I9+(IF('Hipóteses xerais (2)'!$C$94="Si",('Hipóteses xerais (2)'!$C$89/'Hipóteses xerais (2)'!$C$11),0))</f>
        <v>7341.5197869089989</v>
      </c>
      <c r="J85" s="638">
        <f>J9+(IF('Hipóteses xerais (2)'!$C$94="Si",('Hipóteses xerais (2)'!$C$89/'Hipóteses xerais (2)'!$C$11),0))</f>
        <v>7569.1069003031771</v>
      </c>
      <c r="K85" s="638">
        <f>K9+(IF('Hipóteses xerais (2)'!$C$94="Si",('Hipóteses xerais (2)'!$C$89/'Hipóteses xerais (2)'!$C$11),0))</f>
        <v>7803.7492142125748</v>
      </c>
      <c r="L85" s="638">
        <f>L9+(IF('Hipóteses xerais (2)'!$C$94="Si",('Hipóteses xerais (2)'!$C$89/'Hipóteses xerais (2)'!$C$11),0))</f>
        <v>8045.6654398531637</v>
      </c>
      <c r="M85" s="638">
        <f>M9+(IF('Hipóteses xerais (2)'!$C$94="Si",('Hipóteses xerais (2)'!$C$89/'Hipóteses xerais (2)'!$C$11),0))</f>
        <v>8295.081068488611</v>
      </c>
      <c r="N85" s="638">
        <f>N9+(IF('Hipóteses xerais (2)'!$C$94="Si",('Hipóteses xerais (2)'!$C$89/'Hipóteses xerais (2)'!$C$11),0))</f>
        <v>8552.2285816117565</v>
      </c>
      <c r="O85" s="638">
        <f>O9+(IF('Hipóteses xerais (2)'!$C$94="Si",('Hipóteses xerais (2)'!$C$89/'Hipóteses xerais (2)'!$C$11),0))</f>
        <v>8817.3476676417195</v>
      </c>
      <c r="P85" s="638">
        <f>P9+(IF('Hipóteses xerais (2)'!$C$94="Si",('Hipóteses xerais (2)'!$C$89/'Hipóteses xerais (2)'!$C$11),0))</f>
        <v>9090.6854453386113</v>
      </c>
      <c r="Q85" s="638">
        <f>Q9+(IF('Hipóteses xerais (2)'!$C$94="Si",('Hipóteses xerais (2)'!$C$89/'Hipóteses xerais (2)'!$C$11),0))</f>
        <v>9372.4966941441071</v>
      </c>
      <c r="R85" s="638">
        <f>R9+(IF('Hipóteses xerais (2)'!$C$94="Si",('Hipóteses xerais (2)'!$C$89/'Hipóteses xerais (2)'!$C$11),0))</f>
        <v>9663.0440916625739</v>
      </c>
      <c r="S85" s="638">
        <f>S9+(IF('Hipóteses xerais (2)'!$C$94="Si",('Hipóteses xerais (2)'!$C$89/'Hipóteses xerais (2)'!$C$11),0))</f>
        <v>9962.5984585041133</v>
      </c>
      <c r="T85" s="638">
        <f>T9+(IF('Hipóteses xerais (2)'!$C$94="Si",('Hipóteses xerais (2)'!$C$89/'Hipóteses xerais (2)'!$C$11),0))</f>
        <v>10271.439010717741</v>
      </c>
      <c r="U85" s="638">
        <f>U9+(IF('Hipóteses xerais (2)'!$C$94="Si",('Hipóteses xerais (2)'!$C$89/'Hipóteses xerais (2)'!$C$11),0))</f>
        <v>10589.853620049989</v>
      </c>
      <c r="V85" s="638">
        <f>V9+(IF('Hipóteses xerais (2)'!$C$94="Si",('Hipóteses xerais (2)'!$C$89/'Hipóteses xerais (2)'!$C$11),0))</f>
        <v>10918.139082271538</v>
      </c>
      <c r="W85" s="638">
        <f>W9+(IF('Hipóteses xerais (2)'!$C$94="Si",('Hipóteses xerais (2)'!$C$89/'Hipóteses xerais (2)'!$C$11),0))</f>
        <v>11256.601393821955</v>
      </c>
      <c r="X85" s="638">
        <f>X9+(IF('Hipóteses xerais (2)'!$C$94="Si",('Hipóteses xerais (2)'!$C$89/'Hipóteses xerais (2)'!$C$11),0))</f>
        <v>11605.556037030434</v>
      </c>
      <c r="Y85" s="638">
        <f>Y9+(IF('Hipóteses xerais (2)'!$C$94="Si",('Hipóteses xerais (2)'!$C$89/'Hipóteses xerais (2)'!$C$11),0))</f>
        <v>11965.328274178377</v>
      </c>
      <c r="Z85" s="638">
        <f>Z9+(IF('Hipóteses xerais (2)'!$C$94="Si",('Hipóteses xerais (2)'!$C$89/'Hipóteses xerais (2)'!$C$11),0))</f>
        <v>12336.253450677905</v>
      </c>
      <c r="AA85" s="638">
        <f>AA9+(IF('Hipóteses xerais (2)'!$C$94="Si",('Hipóteses xerais (2)'!$C$89/'Hipóteses xerais (2)'!$C$11),0))</f>
        <v>12718.677307648919</v>
      </c>
      <c r="AB85" s="638">
        <f>AB9+(IF('Hipóteses xerais (2)'!$C$94="Si",('Hipóteses xerais (2)'!$C$89/'Hipóteses xerais (2)'!$C$11),0))</f>
        <v>13112.956304186035</v>
      </c>
      <c r="AC85" s="638">
        <f>AC9+(IF('Hipóteses xerais (2)'!$C$94="Si",('Hipóteses xerais (2)'!$C$89/'Hipóteses xerais (2)'!$C$11),0))</f>
        <v>13519.4579496158</v>
      </c>
      <c r="AD85" s="637">
        <f>AD9+(IF('Hipóteses xerais (2)'!$C$94="Si",('Hipóteses xerais (2)'!$C$89/'Hipóteses xerais (2)'!$C$11),0))</f>
        <v>13938.561146053889</v>
      </c>
      <c r="AE85" s="636">
        <f>SUM(F85:AD85)</f>
        <v>247472.79166392199</v>
      </c>
    </row>
    <row r="86" spans="3:31" ht="15" thickBot="1" x14ac:dyDescent="0.4">
      <c r="C86" s="635" t="s">
        <v>865</v>
      </c>
      <c r="D86" s="634" t="s">
        <v>864</v>
      </c>
      <c r="E86" s="633"/>
      <c r="F86" s="632">
        <f>'Hipóteses xerais (2)'!$C$16*'Conta explotación'!F85</f>
        <v>1674.75</v>
      </c>
      <c r="G86" s="632">
        <f>'Hipóteses xerais (2)'!$C$16*'Conta explotación'!G85</f>
        <v>1726.66725</v>
      </c>
      <c r="H86" s="632">
        <f>'Hipóteses xerais (2)'!$C$16*'Conta explotación'!H85</f>
        <v>1780.1939347499999</v>
      </c>
      <c r="I86" s="632">
        <f>'Hipóteses xerais (2)'!$C$16*'Conta explotación'!I85</f>
        <v>1835.3799467272497</v>
      </c>
      <c r="J86" s="632">
        <f>'Hipóteses xerais (2)'!$C$16*'Conta explotación'!J85</f>
        <v>1892.2767250757943</v>
      </c>
      <c r="K86" s="632">
        <f>'Hipóteses xerais (2)'!$C$16*'Conta explotación'!K85</f>
        <v>1950.9373035531437</v>
      </c>
      <c r="L86" s="632">
        <f>'Hipóteses xerais (2)'!$C$16*'Conta explotación'!L85</f>
        <v>2011.4163599632909</v>
      </c>
      <c r="M86" s="632">
        <f>'Hipóteses xerais (2)'!$C$16*'Conta explotación'!M85</f>
        <v>2073.7702671221527</v>
      </c>
      <c r="N86" s="632">
        <f>'Hipóteses xerais (2)'!$C$16*'Conta explotación'!N85</f>
        <v>2138.0571454029391</v>
      </c>
      <c r="O86" s="632">
        <f>'Hipóteses xerais (2)'!$C$16*'Conta explotación'!O85</f>
        <v>2204.3369169104299</v>
      </c>
      <c r="P86" s="632">
        <f>'Hipóteses xerais (2)'!$C$16*'Conta explotación'!P85</f>
        <v>2272.6713613346528</v>
      </c>
      <c r="Q86" s="632">
        <f>'Hipóteses xerais (2)'!$C$16*'Conta explotación'!Q85</f>
        <v>2343.1241735360268</v>
      </c>
      <c r="R86" s="632">
        <f>'Hipóteses xerais (2)'!$C$16*'Conta explotación'!R85</f>
        <v>2415.7610229156435</v>
      </c>
      <c r="S86" s="632">
        <f>'Hipóteses xerais (2)'!$C$16*'Conta explotación'!S85</f>
        <v>2490.6496146260283</v>
      </c>
      <c r="T86" s="632">
        <f>'Hipóteses xerais (2)'!$C$16*'Conta explotación'!T85</f>
        <v>2567.8597526794351</v>
      </c>
      <c r="U86" s="632">
        <f>'Hipóteses xerais (2)'!$C$16*'Conta explotación'!U85</f>
        <v>2647.4634050124973</v>
      </c>
      <c r="V86" s="632">
        <f>'Hipóteses xerais (2)'!$C$16*'Conta explotación'!V85</f>
        <v>2729.5347705678846</v>
      </c>
      <c r="W86" s="632">
        <f>'Hipóteses xerais (2)'!$C$16*'Conta explotación'!W85</f>
        <v>2814.1503484554887</v>
      </c>
      <c r="X86" s="632">
        <f>'Hipóteses xerais (2)'!$C$16*'Conta explotación'!X85</f>
        <v>2901.3890092576084</v>
      </c>
      <c r="Y86" s="632">
        <f>'Hipóteses xerais (2)'!$C$16*'Conta explotación'!Y85</f>
        <v>2991.3320685445942</v>
      </c>
      <c r="Z86" s="632">
        <f>'Hipóteses xerais (2)'!$C$16*'Conta explotación'!Z85</f>
        <v>3084.0633626694762</v>
      </c>
      <c r="AA86" s="632">
        <f>'Hipóteses xerais (2)'!$C$16*'Conta explotación'!AA85</f>
        <v>3179.6693269122297</v>
      </c>
      <c r="AB86" s="632">
        <f>'Hipóteses xerais (2)'!$C$16*'Conta explotación'!AB85</f>
        <v>3278.2390760465087</v>
      </c>
      <c r="AC86" s="632">
        <f>'Hipóteses xerais (2)'!$C$16*'Conta explotación'!AC85</f>
        <v>3379.8644874039501</v>
      </c>
      <c r="AD86" s="631">
        <f>'Hipóteses xerais (2)'!$C$16*'Conta explotación'!AD85</f>
        <v>3484.6402865134723</v>
      </c>
      <c r="AE86" s="630">
        <f>SUM(F86:AD86)</f>
        <v>61868.197915980498</v>
      </c>
    </row>
    <row r="87" spans="3:31" ht="62.5" customHeight="1" thickTop="1" x14ac:dyDescent="0.35">
      <c r="C87" s="629" t="s">
        <v>863</v>
      </c>
      <c r="D87" s="623" t="s">
        <v>862</v>
      </c>
      <c r="F87" s="626">
        <f>F86/'Hipóteses xerais (2)'!$F$39</f>
        <v>66.989999999999995</v>
      </c>
      <c r="G87" s="626">
        <f>G86/'Hipóteses xerais (2)'!$F$39</f>
        <v>69.066689999999994</v>
      </c>
      <c r="H87" s="626">
        <f>H86/'Hipóteses xerais (2)'!$F$39</f>
        <v>71.207757389999998</v>
      </c>
      <c r="I87" s="626">
        <f>I86/'Hipóteses xerais (2)'!$F$39</f>
        <v>73.415197869089994</v>
      </c>
      <c r="J87" s="626">
        <f>J86/'Hipóteses xerais (2)'!$F$39</f>
        <v>75.691069003031771</v>
      </c>
      <c r="K87" s="626">
        <f>K86/'Hipóteses xerais (2)'!$F$39</f>
        <v>78.037492142125743</v>
      </c>
      <c r="L87" s="626">
        <f>L86/'Hipóteses xerais (2)'!$F$39</f>
        <v>80.45665439853164</v>
      </c>
      <c r="M87" s="626">
        <f>M86/'Hipóteses xerais (2)'!$F$39</f>
        <v>82.950810684886108</v>
      </c>
      <c r="N87" s="626">
        <f>N86/'Hipóteses xerais (2)'!$F$39</f>
        <v>85.522285816117559</v>
      </c>
      <c r="O87" s="626">
        <f>O86/'Hipóteses xerais (2)'!$F$39</f>
        <v>88.173476676417195</v>
      </c>
      <c r="P87" s="626">
        <f>P86/'Hipóteses xerais (2)'!$F$39</f>
        <v>90.906854453386117</v>
      </c>
      <c r="Q87" s="626">
        <f>Q86/'Hipóteses xerais (2)'!$F$39</f>
        <v>93.724966941441068</v>
      </c>
      <c r="R87" s="626">
        <f>R86/'Hipóteses xerais (2)'!$F$39</f>
        <v>96.630440916625744</v>
      </c>
      <c r="S87" s="626">
        <f>S86/'Hipóteses xerais (2)'!$F$39</f>
        <v>99.625984585041138</v>
      </c>
      <c r="T87" s="626">
        <f>T86/'Hipóteses xerais (2)'!$F$39</f>
        <v>102.71439010717741</v>
      </c>
      <c r="U87" s="626">
        <f>U86/'Hipóteses xerais (2)'!$F$39</f>
        <v>105.89853620049989</v>
      </c>
      <c r="V87" s="626">
        <f>V86/'Hipóteses xerais (2)'!$F$39</f>
        <v>109.18139082271539</v>
      </c>
      <c r="W87" s="626">
        <f>W86/'Hipóteses xerais (2)'!$F$39</f>
        <v>112.56601393821956</v>
      </c>
      <c r="X87" s="626">
        <f>X86/'Hipóteses xerais (2)'!$F$39</f>
        <v>116.05556037030433</v>
      </c>
      <c r="Y87" s="626">
        <f>Y86/'Hipóteses xerais (2)'!$F$39</f>
        <v>119.65328274178377</v>
      </c>
      <c r="Z87" s="626">
        <f>Z86/'Hipóteses xerais (2)'!$F$39</f>
        <v>123.36253450677904</v>
      </c>
      <c r="AA87" s="626">
        <f>AA86/'Hipóteses xerais (2)'!$F$39</f>
        <v>127.18677307648919</v>
      </c>
      <c r="AB87" s="626">
        <f>AB86/'Hipóteses xerais (2)'!$F$39</f>
        <v>131.12956304186034</v>
      </c>
      <c r="AC87" s="626">
        <f>AC86/'Hipóteses xerais (2)'!$F$39</f>
        <v>135.19457949615801</v>
      </c>
      <c r="AD87" s="626">
        <f>AD86/'Hipóteses xerais (2)'!$F$39</f>
        <v>139.38561146053888</v>
      </c>
      <c r="AE87" s="628">
        <f>SUM(F87:AD87)</f>
        <v>2474.72791663922</v>
      </c>
    </row>
    <row r="88" spans="3:31" ht="58.5" thickBot="1" x14ac:dyDescent="0.4">
      <c r="C88" s="627" t="s">
        <v>861</v>
      </c>
      <c r="D88" s="32" t="s">
        <v>860</v>
      </c>
      <c r="F88" s="626">
        <f t="shared" ref="F88:AD88" si="30">F87/12</f>
        <v>5.5824999999999996</v>
      </c>
      <c r="G88" s="626">
        <f t="shared" si="30"/>
        <v>5.7555574999999992</v>
      </c>
      <c r="H88" s="626">
        <f t="shared" si="30"/>
        <v>5.9339797824999998</v>
      </c>
      <c r="I88" s="626">
        <f t="shared" si="30"/>
        <v>6.1179331557574992</v>
      </c>
      <c r="J88" s="626">
        <f t="shared" si="30"/>
        <v>6.3075890835859809</v>
      </c>
      <c r="K88" s="626">
        <f t="shared" si="30"/>
        <v>6.5031243451771452</v>
      </c>
      <c r="L88" s="626">
        <f t="shared" si="30"/>
        <v>6.7047211998776364</v>
      </c>
      <c r="M88" s="626">
        <f t="shared" si="30"/>
        <v>6.9125675570738423</v>
      </c>
      <c r="N88" s="626">
        <f t="shared" si="30"/>
        <v>7.1268571513431302</v>
      </c>
      <c r="O88" s="626">
        <f t="shared" si="30"/>
        <v>7.347789723034766</v>
      </c>
      <c r="P88" s="626">
        <f t="shared" si="30"/>
        <v>7.5755712044488428</v>
      </c>
      <c r="Q88" s="626">
        <f t="shared" si="30"/>
        <v>7.8104139117867559</v>
      </c>
      <c r="R88" s="626">
        <f t="shared" si="30"/>
        <v>8.052536743052146</v>
      </c>
      <c r="S88" s="626">
        <f t="shared" si="30"/>
        <v>8.3021653820867609</v>
      </c>
      <c r="T88" s="626">
        <f t="shared" si="30"/>
        <v>8.5595325089314507</v>
      </c>
      <c r="U88" s="626">
        <f t="shared" si="30"/>
        <v>8.8248780167083236</v>
      </c>
      <c r="V88" s="626">
        <f t="shared" si="30"/>
        <v>9.0984492352262816</v>
      </c>
      <c r="W88" s="626">
        <f t="shared" si="30"/>
        <v>9.3805011615182963</v>
      </c>
      <c r="X88" s="626">
        <f t="shared" si="30"/>
        <v>9.6712966975253618</v>
      </c>
      <c r="Y88" s="626">
        <f t="shared" si="30"/>
        <v>9.9711068951486475</v>
      </c>
      <c r="Z88" s="626">
        <f t="shared" si="30"/>
        <v>10.280211208898253</v>
      </c>
      <c r="AA88" s="626">
        <f t="shared" si="30"/>
        <v>10.598897756374098</v>
      </c>
      <c r="AB88" s="626">
        <f t="shared" si="30"/>
        <v>10.927463586821695</v>
      </c>
      <c r="AC88" s="626">
        <f t="shared" si="30"/>
        <v>11.266214958013167</v>
      </c>
      <c r="AD88" s="626">
        <f t="shared" si="30"/>
        <v>11.615467621711574</v>
      </c>
      <c r="AE88" s="625">
        <f>AE87/('Hipóteses xerais (2)'!$F$39*12)</f>
        <v>8.2490930554640673</v>
      </c>
    </row>
    <row r="89" spans="3:31" ht="55" customHeight="1" x14ac:dyDescent="0.35">
      <c r="C89" s="624" t="s">
        <v>859</v>
      </c>
      <c r="D89" s="623" t="s">
        <v>858</v>
      </c>
      <c r="F89" s="150">
        <f t="shared" ref="F89:AD89" si="31">F86/(F79*1000)</f>
        <v>1.8961652117794911E-5</v>
      </c>
      <c r="G89" s="150">
        <f t="shared" si="31"/>
        <v>1.9549463333446553E-5</v>
      </c>
      <c r="H89" s="150">
        <f t="shared" si="31"/>
        <v>2.0155496696783396E-5</v>
      </c>
      <c r="I89" s="150">
        <f t="shared" si="31"/>
        <v>2.078031709438368E-5</v>
      </c>
      <c r="J89" s="150">
        <f t="shared" si="31"/>
        <v>2.142450692430957E-5</v>
      </c>
      <c r="K89" s="150">
        <f t="shared" si="31"/>
        <v>2.2088666638963167E-5</v>
      </c>
      <c r="L89" s="150">
        <f t="shared" si="31"/>
        <v>2.2773415304771022E-5</v>
      </c>
      <c r="M89" s="150">
        <f t="shared" si="31"/>
        <v>2.347939117921892E-5</v>
      </c>
      <c r="N89" s="150">
        <f t="shared" si="31"/>
        <v>2.4207252305774703E-5</v>
      </c>
      <c r="O89" s="150">
        <f t="shared" si="31"/>
        <v>2.4957677127253714E-5</v>
      </c>
      <c r="P89" s="150">
        <f t="shared" si="31"/>
        <v>2.5731365118198576E-5</v>
      </c>
      <c r="Q89" s="150">
        <f t="shared" si="31"/>
        <v>2.6529037436862729E-5</v>
      </c>
      <c r="R89" s="150">
        <f t="shared" si="31"/>
        <v>2.7351437597405472E-5</v>
      </c>
      <c r="S89" s="150">
        <f t="shared" si="31"/>
        <v>2.819933216292504E-5</v>
      </c>
      <c r="T89" s="150">
        <f t="shared" si="31"/>
        <v>2.9073511459975715E-5</v>
      </c>
      <c r="U89" s="150">
        <f t="shared" si="31"/>
        <v>2.9974790315234959E-5</v>
      </c>
      <c r="V89" s="150">
        <f t="shared" si="31"/>
        <v>3.0904008815007244E-5</v>
      </c>
      <c r="W89" s="150">
        <f t="shared" si="31"/>
        <v>3.1862033088272466E-5</v>
      </c>
      <c r="X89" s="150">
        <f t="shared" si="31"/>
        <v>3.2849756114008905E-5</v>
      </c>
      <c r="Y89" s="150">
        <f t="shared" si="31"/>
        <v>3.3868098553543176E-5</v>
      </c>
      <c r="Z89" s="150">
        <f t="shared" si="31"/>
        <v>3.4918009608703014E-5</v>
      </c>
      <c r="AA89" s="150">
        <f t="shared" si="31"/>
        <v>3.6000467906572802E-5</v>
      </c>
      <c r="AB89" s="150">
        <f t="shared" si="31"/>
        <v>3.7116482411676559E-5</v>
      </c>
      <c r="AC89" s="150">
        <f t="shared" si="31"/>
        <v>3.8267093366438527E-5</v>
      </c>
      <c r="AD89" s="150">
        <f t="shared" si="31"/>
        <v>3.9453373260798121E-5</v>
      </c>
      <c r="AE89" s="150">
        <f>SUM(F89:AD89)</f>
        <v>7.0047663593832295E-4</v>
      </c>
    </row>
    <row r="90" spans="3:31" ht="15" thickBot="1" x14ac:dyDescent="0.4">
      <c r="C90" s="622"/>
    </row>
    <row r="91" spans="3:31" ht="15" thickBot="1" x14ac:dyDescent="0.4">
      <c r="C91" s="621" t="s">
        <v>857</v>
      </c>
      <c r="D91" s="620" t="s">
        <v>856</v>
      </c>
      <c r="E91" s="619"/>
      <c r="F91" s="619"/>
      <c r="G91" s="619"/>
      <c r="H91" s="619"/>
      <c r="I91" s="619"/>
      <c r="J91" s="619"/>
      <c r="K91" s="619"/>
      <c r="L91" s="619"/>
      <c r="M91" s="619"/>
      <c r="N91" s="619"/>
      <c r="O91" s="619"/>
      <c r="P91" s="619"/>
      <c r="Q91" s="619"/>
      <c r="R91" s="619"/>
      <c r="S91" s="619"/>
      <c r="T91" s="619"/>
      <c r="U91" s="619"/>
      <c r="V91" s="619"/>
      <c r="W91" s="619"/>
      <c r="X91" s="619"/>
      <c r="Y91" s="619"/>
      <c r="Z91" s="619"/>
      <c r="AA91" s="619"/>
      <c r="AB91" s="619"/>
      <c r="AC91" s="619"/>
      <c r="AD91" s="619"/>
      <c r="AE91" s="618"/>
    </row>
    <row r="92" spans="3:31" ht="59" thickTop="1" thickBot="1" x14ac:dyDescent="0.4">
      <c r="C92" s="617" t="s">
        <v>855</v>
      </c>
      <c r="D92" s="616" t="s">
        <v>854</v>
      </c>
      <c r="E92" s="615"/>
      <c r="F92" s="614">
        <f>F75+(F87*(1+'Hipóteses xerais (2)'!$C$16))</f>
        <v>182.55629999999999</v>
      </c>
      <c r="G92" s="614">
        <f>G75+(G87*(1+'Hipóteses xerais (2)'!$C$16))</f>
        <v>184.7333625</v>
      </c>
      <c r="H92" s="614">
        <f>H75+(H87*(1+'Hipóteses xerais (2)'!$C$16))</f>
        <v>191.99209673749999</v>
      </c>
      <c r="I92" s="614">
        <f>I75+(I87*(1+'Hipóteses xerais (2)'!$C$16))</f>
        <v>199.4804341363625</v>
      </c>
      <c r="J92" s="614">
        <f>J75+(J87*(1+'Hipóteses xerais (2)'!$C$16))</f>
        <v>207.20563903138975</v>
      </c>
      <c r="K92" s="614">
        <f>K75+(K87*(1+'Hipóteses xerais (2)'!$C$16))</f>
        <v>215.17520564414039</v>
      </c>
      <c r="L92" s="614">
        <f>L75+(L87*(1+'Hipóteses xerais (2)'!$C$16))</f>
        <v>223.39686535957523</v>
      </c>
      <c r="M92" s="614">
        <f>M75+(M87*(1+'Hipóteses xerais (2)'!$C$16))</f>
        <v>231.87859423308345</v>
      </c>
      <c r="N92" s="614">
        <f>N75+(N87*(1+'Hipóteses xerais (2)'!$C$16))</f>
        <v>240.62862073518602</v>
      </c>
      <c r="O92" s="614">
        <f>O75+(O87*(1+'Hipóteses xerais (2)'!$C$16))</f>
        <v>249.65543374144181</v>
      </c>
      <c r="P92" s="614">
        <f>P75+(P87*(1+'Hipóteses xerais (2)'!$C$16))</f>
        <v>258.96779077532244</v>
      </c>
      <c r="Q92" s="614">
        <f>Q75+(Q87*(1+'Hipóteses xerais (2)'!$C$16))</f>
        <v>268.57472651206604</v>
      </c>
      <c r="R92" s="614">
        <f>R75+(R87*(1+'Hipóteses xerais (2)'!$C$16))</f>
        <v>278.48556155177528</v>
      </c>
      <c r="S92" s="614">
        <f>S75+(S87*(1+'Hipóteses xerais (2)'!$C$16))</f>
        <v>288.70991147028639</v>
      </c>
      <c r="T92" s="614">
        <f>T75+(T87*(1+'Hipóteses xerais (2)'!$C$16))</f>
        <v>299.2576961566042</v>
      </c>
      <c r="U92" s="614">
        <f>U75+(U87*(1+'Hipóteses xerais (2)'!$C$16))</f>
        <v>310.13914944598156</v>
      </c>
      <c r="V92" s="614">
        <f>V75+(V87*(1+'Hipóteses xerais (2)'!$C$16))</f>
        <v>321.36482905800233</v>
      </c>
      <c r="W92" s="614">
        <f>W75+(W87*(1+'Hipóteses xerais (2)'!$C$16))</f>
        <v>332.94562684932998</v>
      </c>
      <c r="X92" s="614">
        <f>X75+(X87*(1+'Hipóteses xerais (2)'!$C$16))</f>
        <v>344.89277939108581</v>
      </c>
      <c r="Y92" s="614">
        <f>Y75+(Y87*(1+'Hipóteses xerais (2)'!$C$16))</f>
        <v>357.21787888113766</v>
      </c>
      <c r="Z92" s="614">
        <f>Z75+(Z87*(1+'Hipóteses xerais (2)'!$C$16))</f>
        <v>369.93288440190685</v>
      </c>
      <c r="AA92" s="614">
        <f>AA75+(AA87*(1+'Hipóteses xerais (2)'!$C$16))</f>
        <v>383.05013353463437</v>
      </c>
      <c r="AB92" s="614">
        <f>AB75+(AB87*(1+'Hipóteses xerais (2)'!$C$16))</f>
        <v>396.58235434139704</v>
      </c>
      <c r="AC92" s="614">
        <f>AC75+(AC87*(1+'Hipóteses xerais (2)'!$C$16))</f>
        <v>410.5426777265194</v>
      </c>
      <c r="AD92" s="613">
        <f>AD75+(AD87*(1+'Hipóteses xerais (2)'!$C$16))</f>
        <v>424.94465018939786</v>
      </c>
      <c r="AE92" s="612">
        <f>SUM(F92:AD92)</f>
        <v>7172.3112024041275</v>
      </c>
    </row>
    <row r="93" spans="3:31" ht="15" thickBot="1" x14ac:dyDescent="0.4">
      <c r="D93" s="611" t="s">
        <v>853</v>
      </c>
      <c r="E93" s="610"/>
      <c r="F93" s="609">
        <f>F76+(F88*(1+'Hipóteses xerais (2)'!$C$16))</f>
        <v>15.213024999999998</v>
      </c>
      <c r="G93" s="609">
        <f>G76+(G88*(1+'Hipóteses xerais (2)'!$C$16))</f>
        <v>15.394446875</v>
      </c>
      <c r="H93" s="609">
        <f>H76+(H88*(1+'Hipóteses xerais (2)'!$C$16))</f>
        <v>15.999341394791664</v>
      </c>
      <c r="I93" s="609">
        <f>I76+(I88*(1+'Hipóteses xerais (2)'!$C$16))</f>
        <v>16.623369511363542</v>
      </c>
      <c r="J93" s="609">
        <f>J76+(J88*(1+'Hipóteses xerais (2)'!$C$16))</f>
        <v>17.267136585949146</v>
      </c>
      <c r="K93" s="609">
        <f>K76+(K88*(1+'Hipóteses xerais (2)'!$C$16))</f>
        <v>17.931267137011698</v>
      </c>
      <c r="L93" s="609">
        <f>L76+(L88*(1+'Hipóteses xerais (2)'!$C$16))</f>
        <v>18.616405446631269</v>
      </c>
      <c r="M93" s="609">
        <f>M76+(M88*(1+'Hipóteses xerais (2)'!$C$16))</f>
        <v>19.323216186090285</v>
      </c>
      <c r="N93" s="609">
        <f>N76+(N88*(1+'Hipóteses xerais (2)'!$C$16))</f>
        <v>20.052385061265504</v>
      </c>
      <c r="O93" s="609">
        <f>O76+(O88*(1+'Hipóteses xerais (2)'!$C$16))</f>
        <v>20.804619478453482</v>
      </c>
      <c r="P93" s="609">
        <f>P76+(P88*(1+'Hipóteses xerais (2)'!$C$16))</f>
        <v>21.580649231276869</v>
      </c>
      <c r="Q93" s="609">
        <f>Q76+(Q88*(1+'Hipóteses xerais (2)'!$C$16))</f>
        <v>22.381227209338835</v>
      </c>
      <c r="R93" s="609">
        <f>R76+(R88*(1+'Hipóteses xerais (2)'!$C$16))</f>
        <v>23.207130129314606</v>
      </c>
      <c r="S93" s="609">
        <f>S76+(S88*(1+'Hipóteses xerais (2)'!$C$16))</f>
        <v>24.059159289190532</v>
      </c>
      <c r="T93" s="609">
        <f>T76+(T88*(1+'Hipóteses xerais (2)'!$C$16))</f>
        <v>24.938141346383688</v>
      </c>
      <c r="U93" s="609">
        <f>U76+(U88*(1+'Hipóteses xerais (2)'!$C$16))</f>
        <v>25.844929120498463</v>
      </c>
      <c r="V93" s="609">
        <f>V76+(V88*(1+'Hipóteses xerais (2)'!$C$16))</f>
        <v>26.780402421500195</v>
      </c>
      <c r="W93" s="609">
        <f>W76+(W88*(1+'Hipóteses xerais (2)'!$C$16))</f>
        <v>27.745468904110833</v>
      </c>
      <c r="X93" s="609">
        <f>X76+(X88*(1+'Hipóteses xerais (2)'!$C$16))</f>
        <v>28.741064949257151</v>
      </c>
      <c r="Y93" s="609">
        <f>Y76+(Y88*(1+'Hipóteses xerais (2)'!$C$16))</f>
        <v>29.76815657342814</v>
      </c>
      <c r="Z93" s="609">
        <f>Z76+(Z88*(1+'Hipóteses xerais (2)'!$C$16))</f>
        <v>30.827740366825566</v>
      </c>
      <c r="AA93" s="609">
        <f>AA76+(AA88*(1+'Hipóteses xerais (2)'!$C$16))</f>
        <v>31.920844461219531</v>
      </c>
      <c r="AB93" s="609">
        <f>AB76+(AB88*(1+'Hipóteses xerais (2)'!$C$16))</f>
        <v>33.048529528449755</v>
      </c>
      <c r="AC93" s="609">
        <f>AC76+(AC88*(1+'Hipóteses xerais (2)'!$C$16))</f>
        <v>34.211889810543283</v>
      </c>
      <c r="AD93" s="608">
        <f>AD76+(AD88*(1+'Hipóteses xerais (2)'!$C$16))</f>
        <v>35.412054182449822</v>
      </c>
      <c r="AE93" s="607">
        <f>AE92/('Hipóteses xerais (2)'!$F$39*12)</f>
        <v>23.907704008013759</v>
      </c>
    </row>
    <row r="95" spans="3:31" ht="15" thickBot="1" x14ac:dyDescent="0.4">
      <c r="F95" s="150"/>
    </row>
    <row r="96" spans="3:31" ht="15" thickBot="1" x14ac:dyDescent="0.4">
      <c r="C96" s="606" t="s">
        <v>852</v>
      </c>
      <c r="D96" s="605" t="s">
        <v>851</v>
      </c>
      <c r="E96" s="604" t="s">
        <v>850</v>
      </c>
    </row>
    <row r="97" spans="3:5" ht="29.5" thickBot="1" x14ac:dyDescent="0.4">
      <c r="C97" s="603" t="s">
        <v>849</v>
      </c>
      <c r="D97" s="602">
        <f>$F$93</f>
        <v>15.213024999999998</v>
      </c>
      <c r="E97" s="601">
        <f>$F$92</f>
        <v>182.55629999999999</v>
      </c>
    </row>
  </sheetData>
  <mergeCells count="2">
    <mergeCell ref="D4:E4"/>
    <mergeCell ref="D60:E60"/>
  </mergeCells>
  <pageMargins left="0.70866141732283472" right="0.70866141732283472" top="0.39370078740157483" bottom="0.35433070866141736" header="0.31496062992125984" footer="0.31496062992125984"/>
  <pageSetup paperSize="9"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6A6C0-7081-42B8-8C4B-09BF7C01F3D2}">
  <sheetPr>
    <pageSetUpPr fitToPage="1"/>
  </sheetPr>
  <dimension ref="B5:J77"/>
  <sheetViews>
    <sheetView topLeftCell="C4" zoomScale="118" zoomScaleNormal="118" workbookViewId="0">
      <selection activeCell="F2" sqref="F2"/>
    </sheetView>
  </sheetViews>
  <sheetFormatPr baseColWidth="10" defaultColWidth="11.54296875" defaultRowHeight="14.5" x14ac:dyDescent="0.35"/>
  <cols>
    <col min="3" max="3" width="51.453125" customWidth="1"/>
    <col min="4" max="4" width="13.453125" customWidth="1"/>
    <col min="5" max="5" width="15" bestFit="1" customWidth="1"/>
    <col min="6" max="6" width="16.36328125" customWidth="1"/>
    <col min="7" max="7" width="15.54296875" customWidth="1"/>
    <col min="8" max="8" width="33.1796875" customWidth="1"/>
    <col min="9" max="9" width="17.453125" customWidth="1"/>
    <col min="10" max="10" width="21.81640625" customWidth="1"/>
  </cols>
  <sheetData>
    <row r="5" spans="3:6" ht="15" thickBot="1" x14ac:dyDescent="0.4"/>
    <row r="6" spans="3:6" ht="15.5" thickTop="1" thickBot="1" x14ac:dyDescent="0.4">
      <c r="C6" s="719" t="s">
        <v>907</v>
      </c>
      <c r="D6" s="692" t="s">
        <v>197</v>
      </c>
      <c r="E6" s="826" t="s">
        <v>939</v>
      </c>
      <c r="F6" s="825" t="s">
        <v>920</v>
      </c>
    </row>
    <row r="7" spans="3:6" ht="15.5" thickTop="1" thickBot="1" x14ac:dyDescent="0.4">
      <c r="C7" s="865" t="s">
        <v>212</v>
      </c>
      <c r="D7" s="864">
        <f>SUM(D8:D12)</f>
        <v>13</v>
      </c>
      <c r="E7" s="864">
        <f>AVERAGE(E8:E12)</f>
        <v>35</v>
      </c>
      <c r="F7" s="863">
        <f>IF($D$26="Si", SUM(F8:F12),0)</f>
        <v>0</v>
      </c>
    </row>
    <row r="8" spans="3:6" x14ac:dyDescent="0.35">
      <c r="C8" s="862" t="s">
        <v>215</v>
      </c>
      <c r="D8" s="861">
        <f>'Hipóteses Gastos'!C5</f>
        <v>0</v>
      </c>
      <c r="E8" s="860">
        <f>'Hipóteses Gastos'!D5</f>
        <v>0</v>
      </c>
      <c r="F8" s="859">
        <f>D8*E8</f>
        <v>0</v>
      </c>
    </row>
    <row r="9" spans="3:6" x14ac:dyDescent="0.35">
      <c r="C9" s="858" t="s">
        <v>255</v>
      </c>
      <c r="D9" s="801">
        <f>'Hipóteses Gastos'!C6</f>
        <v>0</v>
      </c>
      <c r="E9" s="800">
        <f>'Hipóteses Gastos'!D6</f>
        <v>0</v>
      </c>
      <c r="F9" s="857">
        <f>D9*E9</f>
        <v>0</v>
      </c>
    </row>
    <row r="10" spans="3:6" x14ac:dyDescent="0.35">
      <c r="C10" s="858" t="s">
        <v>257</v>
      </c>
      <c r="D10" s="801">
        <f>'Hipóteses Gastos'!C7</f>
        <v>1</v>
      </c>
      <c r="E10" s="800">
        <f>'Hipóteses Gastos'!D7</f>
        <v>150</v>
      </c>
      <c r="F10" s="857">
        <f>D10*E10</f>
        <v>150</v>
      </c>
    </row>
    <row r="11" spans="3:6" x14ac:dyDescent="0.35">
      <c r="C11" s="858" t="s">
        <v>260</v>
      </c>
      <c r="D11" s="801">
        <f>'Hipóteses Gastos'!C8</f>
        <v>0</v>
      </c>
      <c r="E11" s="800">
        <f>'Hipóteses Gastos'!D8</f>
        <v>0</v>
      </c>
      <c r="F11" s="857">
        <f>D11*E11</f>
        <v>0</v>
      </c>
    </row>
    <row r="12" spans="3:6" ht="15" thickBot="1" x14ac:dyDescent="0.4">
      <c r="C12" s="856" t="s">
        <v>264</v>
      </c>
      <c r="D12" s="798">
        <f>'Hipóteses Gastos'!C9</f>
        <v>12</v>
      </c>
      <c r="E12" s="797">
        <f>'Hipóteses Gastos'!D9</f>
        <v>25</v>
      </c>
      <c r="F12" s="855">
        <f>D12*E12</f>
        <v>300</v>
      </c>
    </row>
    <row r="13" spans="3:6" ht="15" thickBot="1" x14ac:dyDescent="0.4">
      <c r="C13" s="854" t="s">
        <v>266</v>
      </c>
      <c r="D13" s="853">
        <f>'Hipóteses Gastos'!$C$10</f>
        <v>0</v>
      </c>
      <c r="E13" s="852">
        <f>'Hipóteses Gastos'!$D$10</f>
        <v>150</v>
      </c>
      <c r="F13" s="851">
        <f>IF($D$26="Si",(D13*E13),0)</f>
        <v>0</v>
      </c>
    </row>
    <row r="14" spans="3:6" ht="15" thickBot="1" x14ac:dyDescent="0.4">
      <c r="C14" s="850" t="s">
        <v>905</v>
      </c>
      <c r="D14" s="849">
        <f>D7+D13</f>
        <v>13</v>
      </c>
      <c r="E14" s="849">
        <f>AVERAGE(E7,E13)</f>
        <v>92.5</v>
      </c>
      <c r="F14" s="848">
        <f>F7+F13</f>
        <v>0</v>
      </c>
    </row>
    <row r="15" spans="3:6" ht="15.5" thickTop="1" thickBot="1" x14ac:dyDescent="0.4"/>
    <row r="16" spans="3:6" ht="30" thickTop="1" thickBot="1" x14ac:dyDescent="0.4">
      <c r="C16" s="847" t="s">
        <v>907</v>
      </c>
      <c r="D16" s="846" t="s">
        <v>197</v>
      </c>
      <c r="E16" s="845" t="s">
        <v>945</v>
      </c>
      <c r="F16" s="844" t="s">
        <v>944</v>
      </c>
    </row>
    <row r="17" spans="3:6" ht="15" thickTop="1" x14ac:dyDescent="0.35">
      <c r="C17" s="537" t="s">
        <v>904</v>
      </c>
      <c r="D17" s="843">
        <f>'Hipóteses Gastos'!$C$16</f>
        <v>0.125</v>
      </c>
      <c r="E17" s="842">
        <f>'Hipóteses Gastos'!$D$16</f>
        <v>800</v>
      </c>
      <c r="F17" s="841">
        <f>IF(D23="Si", (D17*E17*14),0)</f>
        <v>0</v>
      </c>
    </row>
    <row r="18" spans="3:6" x14ac:dyDescent="0.35">
      <c r="C18" s="171" t="s">
        <v>283</v>
      </c>
      <c r="D18" s="840">
        <f>'Hipóteses Gastos'!$C$17</f>
        <v>0.32</v>
      </c>
      <c r="E18">
        <f>(D17*E17)</f>
        <v>100</v>
      </c>
      <c r="F18" s="839">
        <f>IF(D23="Si",(D18*(E18*14)),0)</f>
        <v>0</v>
      </c>
    </row>
    <row r="19" spans="3:6" ht="15" thickBot="1" x14ac:dyDescent="0.4">
      <c r="C19" s="838" t="s">
        <v>286</v>
      </c>
      <c r="D19" s="837">
        <f>'Hipóteses Gastos'!$C$18</f>
        <v>0</v>
      </c>
      <c r="E19" s="837">
        <f>'Hipóteses Gastos'!$D$18</f>
        <v>0</v>
      </c>
      <c r="F19" s="836">
        <f>IF(D23="Si",(D19*E19*14),0)</f>
        <v>0</v>
      </c>
    </row>
    <row r="20" spans="3:6" ht="15" thickBot="1" x14ac:dyDescent="0.4">
      <c r="C20" s="835" t="s">
        <v>903</v>
      </c>
      <c r="D20" s="834"/>
      <c r="E20" s="834"/>
      <c r="F20" s="833">
        <f>IF(D23="Si",SUM(F17:F19),0)</f>
        <v>0</v>
      </c>
    </row>
    <row r="21" spans="3:6" ht="15" thickTop="1" x14ac:dyDescent="0.35"/>
    <row r="23" spans="3:6" x14ac:dyDescent="0.35">
      <c r="C23" s="832" t="s">
        <v>943</v>
      </c>
      <c r="D23" s="831" t="str">
        <f>IF('Hipóteses xerais (2)'!E61="Persoal Propio","Si","Non")</f>
        <v>Non</v>
      </c>
    </row>
    <row r="24" spans="3:6" ht="29" x14ac:dyDescent="0.35">
      <c r="C24" s="828" t="s">
        <v>942</v>
      </c>
      <c r="D24" s="827"/>
    </row>
    <row r="26" spans="3:6" ht="29" x14ac:dyDescent="0.35">
      <c r="C26" s="830" t="s">
        <v>941</v>
      </c>
      <c r="D26" s="829" t="str">
        <f>'Hipóteses xerais (2)'!$E$67</f>
        <v>Non</v>
      </c>
    </row>
    <row r="27" spans="3:6" ht="29" x14ac:dyDescent="0.35">
      <c r="C27" s="828" t="s">
        <v>940</v>
      </c>
      <c r="D27" s="827"/>
    </row>
    <row r="29" spans="3:6" ht="15" thickBot="1" x14ac:dyDescent="0.4"/>
    <row r="30" spans="3:6" ht="15.5" thickTop="1" thickBot="1" x14ac:dyDescent="0.4">
      <c r="C30" s="719" t="s">
        <v>907</v>
      </c>
      <c r="D30" s="692" t="s">
        <v>197</v>
      </c>
      <c r="E30" s="826" t="s">
        <v>939</v>
      </c>
      <c r="F30" s="825" t="s">
        <v>920</v>
      </c>
    </row>
    <row r="31" spans="3:6" ht="15.5" thickTop="1" thickBot="1" x14ac:dyDescent="0.4">
      <c r="C31" s="727" t="s">
        <v>338</v>
      </c>
      <c r="D31" s="824">
        <f>'Hipóteses xerais (2)'!$F$78</f>
        <v>400</v>
      </c>
      <c r="E31" s="823">
        <f>'Hipóteses Gastos'!$D$25</f>
        <v>1.2</v>
      </c>
      <c r="F31" s="787">
        <f>D31*E31</f>
        <v>480</v>
      </c>
    </row>
    <row r="32" spans="3:6" x14ac:dyDescent="0.35">
      <c r="C32" s="795" t="s">
        <v>341</v>
      </c>
      <c r="D32" s="822">
        <f>SUM(D33:D34)</f>
        <v>2</v>
      </c>
      <c r="E32" s="821">
        <f>AVERAGE(E33:E34)</f>
        <v>300</v>
      </c>
      <c r="F32" s="802">
        <f>D32*E32</f>
        <v>600</v>
      </c>
    </row>
    <row r="33" spans="2:6" x14ac:dyDescent="0.35">
      <c r="B33" s="8"/>
      <c r="C33" s="790" t="s">
        <v>938</v>
      </c>
      <c r="D33" s="814">
        <f>'Hipóteses Gastos'!C27</f>
        <v>1</v>
      </c>
      <c r="E33" s="820">
        <f>'Hipóteses Gastos'!D27</f>
        <v>100</v>
      </c>
      <c r="F33" s="804">
        <f>D33*E33</f>
        <v>100</v>
      </c>
    </row>
    <row r="34" spans="2:6" ht="15" thickBot="1" x14ac:dyDescent="0.4">
      <c r="B34" s="8"/>
      <c r="C34" s="799" t="s">
        <v>937</v>
      </c>
      <c r="D34" s="810">
        <f>'Hipóteses Gastos'!C28</f>
        <v>1</v>
      </c>
      <c r="E34" s="797">
        <f>'Hipóteses Gastos'!D28</f>
        <v>500</v>
      </c>
      <c r="F34" s="819">
        <f>D34*E34</f>
        <v>500</v>
      </c>
    </row>
    <row r="35" spans="2:6" s="10" customFormat="1" ht="29" x14ac:dyDescent="0.35">
      <c r="C35" s="818" t="s">
        <v>350</v>
      </c>
      <c r="D35" s="817"/>
      <c r="E35" s="817"/>
      <c r="F35" s="816">
        <f>SUM(F36:F39)</f>
        <v>0</v>
      </c>
    </row>
    <row r="36" spans="2:6" x14ac:dyDescent="0.35">
      <c r="C36" s="815" t="s">
        <v>353</v>
      </c>
      <c r="D36" s="814">
        <f>'Hipóteses Gastos'!C30</f>
        <v>0</v>
      </c>
      <c r="E36" s="813">
        <f>'Hipóteses Gastos'!D30</f>
        <v>0</v>
      </c>
      <c r="F36" s="812">
        <f t="shared" ref="F36:F42" si="0">D36*E36</f>
        <v>0</v>
      </c>
    </row>
    <row r="37" spans="2:6" x14ac:dyDescent="0.35">
      <c r="C37" s="815" t="s">
        <v>356</v>
      </c>
      <c r="D37" s="814">
        <f>'Hipóteses Gastos'!C31</f>
        <v>0</v>
      </c>
      <c r="E37" s="813">
        <f>'Hipóteses Gastos'!D31</f>
        <v>0</v>
      </c>
      <c r="F37" s="812">
        <f t="shared" si="0"/>
        <v>0</v>
      </c>
    </row>
    <row r="38" spans="2:6" x14ac:dyDescent="0.35">
      <c r="C38" s="815" t="s">
        <v>359</v>
      </c>
      <c r="D38" s="814">
        <f>'Hipóteses Gastos'!C32</f>
        <v>0</v>
      </c>
      <c r="E38" s="813">
        <f>'Hipóteses Gastos'!D32</f>
        <v>0</v>
      </c>
      <c r="F38" s="812">
        <f t="shared" si="0"/>
        <v>0</v>
      </c>
    </row>
    <row r="39" spans="2:6" ht="15" thickBot="1" x14ac:dyDescent="0.4">
      <c r="C39" s="811" t="s">
        <v>363</v>
      </c>
      <c r="D39" s="810">
        <f>'Hipóteses Gastos'!C33</f>
        <v>0</v>
      </c>
      <c r="E39" s="809">
        <f>'Hipóteses Gastos'!D33</f>
        <v>0</v>
      </c>
      <c r="F39" s="808">
        <f t="shared" si="0"/>
        <v>0</v>
      </c>
    </row>
    <row r="40" spans="2:6" x14ac:dyDescent="0.35">
      <c r="C40" s="727" t="s">
        <v>392</v>
      </c>
      <c r="D40" s="63"/>
      <c r="E40" s="63"/>
      <c r="F40" s="804">
        <f t="shared" si="0"/>
        <v>0</v>
      </c>
    </row>
    <row r="41" spans="2:6" x14ac:dyDescent="0.35">
      <c r="C41" s="727" t="s">
        <v>936</v>
      </c>
      <c r="D41" s="807">
        <f>'Hipóteses Gastos'!$C$35</f>
        <v>0.02</v>
      </c>
      <c r="E41" s="11">
        <f>('Hipóteses xerais (2)'!$C$17*'Hipóteses xerais (2)'!$C$18)</f>
        <v>70000</v>
      </c>
      <c r="F41" s="804">
        <f t="shared" si="0"/>
        <v>1400</v>
      </c>
    </row>
    <row r="42" spans="2:6" ht="15" thickBot="1" x14ac:dyDescent="0.4">
      <c r="C42" s="727" t="s">
        <v>900</v>
      </c>
      <c r="D42" s="806">
        <f>'Hipóteses Gastos'!$C$36</f>
        <v>4</v>
      </c>
      <c r="E42" s="805">
        <f>'Hipóteses Gastos'!$D$36</f>
        <v>60</v>
      </c>
      <c r="F42" s="804">
        <f t="shared" si="0"/>
        <v>240</v>
      </c>
    </row>
    <row r="43" spans="2:6" x14ac:dyDescent="0.35">
      <c r="C43" s="795" t="s">
        <v>401</v>
      </c>
      <c r="D43" s="803">
        <f>SUM(D44:D46)</f>
        <v>0</v>
      </c>
      <c r="E43" s="803">
        <f>AVERAGE(E44:E46)</f>
        <v>0</v>
      </c>
      <c r="F43" s="802">
        <f>SUM(F44:F46)</f>
        <v>0</v>
      </c>
    </row>
    <row r="44" spans="2:6" x14ac:dyDescent="0.35">
      <c r="C44" s="790" t="s">
        <v>404</v>
      </c>
      <c r="D44" s="801">
        <f>'Hipóteses Gastos'!C38</f>
        <v>0</v>
      </c>
      <c r="E44" s="800">
        <f>'Hipóteses Gastos'!D38</f>
        <v>0</v>
      </c>
      <c r="F44" s="787">
        <f>D44*E44</f>
        <v>0</v>
      </c>
    </row>
    <row r="45" spans="2:6" x14ac:dyDescent="0.35">
      <c r="C45" s="790" t="s">
        <v>407</v>
      </c>
      <c r="D45" s="801">
        <f>'Hipóteses Gastos'!C39</f>
        <v>0</v>
      </c>
      <c r="E45" s="800">
        <f>'Hipóteses Gastos'!D39</f>
        <v>0</v>
      </c>
      <c r="F45" s="787">
        <f>D45*E45</f>
        <v>0</v>
      </c>
    </row>
    <row r="46" spans="2:6" ht="15" thickBot="1" x14ac:dyDescent="0.4">
      <c r="C46" s="799" t="s">
        <v>409</v>
      </c>
      <c r="D46" s="798">
        <f>'Hipóteses Gastos'!C40</f>
        <v>0</v>
      </c>
      <c r="E46" s="797">
        <f>'Hipóteses Gastos'!D40</f>
        <v>0</v>
      </c>
      <c r="F46" s="796">
        <f>D46*E46</f>
        <v>0</v>
      </c>
    </row>
    <row r="47" spans="2:6" x14ac:dyDescent="0.35">
      <c r="C47" s="795" t="s">
        <v>413</v>
      </c>
      <c r="D47" s="803"/>
      <c r="E47" s="803"/>
      <c r="F47" s="802">
        <f>SUM(F48:F52)</f>
        <v>360</v>
      </c>
    </row>
    <row r="48" spans="2:6" x14ac:dyDescent="0.35">
      <c r="C48" s="790" t="s">
        <v>935</v>
      </c>
      <c r="D48" s="801">
        <f>'Hipóteses Gastos'!C42</f>
        <v>0</v>
      </c>
      <c r="E48" s="800">
        <f>'Hipóteses Gastos'!D42</f>
        <v>30</v>
      </c>
      <c r="F48" s="787">
        <f>D48*E48</f>
        <v>0</v>
      </c>
    </row>
    <row r="49" spans="3:10" x14ac:dyDescent="0.35">
      <c r="C49" s="790" t="s">
        <v>419</v>
      </c>
      <c r="D49" s="801">
        <f>'Hipóteses Gastos'!C43</f>
        <v>12</v>
      </c>
      <c r="E49" s="800">
        <f>'Hipóteses Gastos'!D43</f>
        <v>30</v>
      </c>
      <c r="F49" s="787" cm="1">
        <f t="array" ref="F49:G49">IF('Hipóteses xerais (2)'!G64:H64="Si",(D49*E49),0)</f>
        <v>360</v>
      </c>
      <c r="G49">
        <v>0</v>
      </c>
    </row>
    <row r="50" spans="3:10" x14ac:dyDescent="0.35">
      <c r="C50" s="790" t="s">
        <v>421</v>
      </c>
      <c r="D50" s="801">
        <f>'Hipóteses Gastos'!C44</f>
        <v>12</v>
      </c>
      <c r="E50" s="800">
        <f>'Hipóteses Gastos'!D44</f>
        <v>12.87</v>
      </c>
      <c r="F50" s="787" cm="1">
        <f t="array" ref="F50:G50">IF('Hipóteses xerais (2)'!G61:H61="Si",(D50*E50),0)</f>
        <v>0</v>
      </c>
      <c r="G50">
        <v>0</v>
      </c>
    </row>
    <row r="51" spans="3:10" x14ac:dyDescent="0.35">
      <c r="C51" s="790" t="s">
        <v>934</v>
      </c>
      <c r="D51" s="801">
        <f>'Hipóteses Gastos'!C45</f>
        <v>12</v>
      </c>
      <c r="E51" s="800">
        <f>'Hipóteses Gastos'!D45</f>
        <v>13</v>
      </c>
      <c r="F51" s="787" cm="1">
        <f t="array" ref="F51:G51">IF('Hipóteses xerais (2)'!G61:H61="Si",(D51*E51),0)</f>
        <v>0</v>
      </c>
      <c r="G51">
        <v>0</v>
      </c>
    </row>
    <row r="52" spans="3:10" ht="15" thickBot="1" x14ac:dyDescent="0.4">
      <c r="C52" s="799" t="s">
        <v>933</v>
      </c>
      <c r="D52" s="798">
        <f>'Hipóteses Gastos'!C46</f>
        <v>0</v>
      </c>
      <c r="E52" s="797">
        <f>'Hipóteses Gastos'!D46</f>
        <v>25</v>
      </c>
      <c r="F52" s="796">
        <f>D52*E52</f>
        <v>0</v>
      </c>
    </row>
    <row r="53" spans="3:10" ht="15" thickBot="1" x14ac:dyDescent="0.4">
      <c r="C53" s="795" t="s">
        <v>899</v>
      </c>
      <c r="D53" s="619"/>
      <c r="E53" s="619"/>
      <c r="F53" s="794">
        <f>SUM(F54:F55)</f>
        <v>450</v>
      </c>
      <c r="H53" s="606" t="s">
        <v>932</v>
      </c>
      <c r="I53" s="738"/>
      <c r="J53" s="737"/>
    </row>
    <row r="54" spans="3:10" ht="15" thickBot="1" x14ac:dyDescent="0.4">
      <c r="C54" s="790" t="s">
        <v>931</v>
      </c>
      <c r="D54">
        <v>12</v>
      </c>
      <c r="E54" s="150" cm="1">
        <f t="array" ref="E54">_xlfn.IFS('Hipóteses xerais (2)'!E61="Subcontratación",$J$58,'Hipóteses xerais (2)'!E61="Persoal Propio",($J$57+$J$56),'Hipóteses xerais (2)'!E61="Auto-explotación",$J$56)</f>
        <v>37.5</v>
      </c>
      <c r="F54" s="787">
        <f>D54*E54</f>
        <v>450</v>
      </c>
      <c r="H54" s="793" t="s">
        <v>568</v>
      </c>
      <c r="I54" s="792" t="s">
        <v>930</v>
      </c>
      <c r="J54" s="791" t="s">
        <v>493</v>
      </c>
    </row>
    <row r="55" spans="3:10" ht="15" thickBot="1" x14ac:dyDescent="0.4">
      <c r="C55" s="790" t="s">
        <v>929</v>
      </c>
      <c r="D55" s="789"/>
      <c r="E55" s="788"/>
      <c r="F55" s="787">
        <f>IF('Hipóteses xerais (2)'!G73="Non",0,(IF(F54&lt;(0.05*'Conta explotación'!F15),((0.05*'Conta explotación'!F15)-'Estim. Gastos'!F54),0)))</f>
        <v>0</v>
      </c>
      <c r="H55" s="786" t="s">
        <v>928</v>
      </c>
      <c r="I55" s="785" t="s">
        <v>927</v>
      </c>
      <c r="J55" s="784">
        <f>'Hipóteses Gastos'!$D$49</f>
        <v>60</v>
      </c>
    </row>
    <row r="56" spans="3:10" ht="15.5" thickTop="1" thickBot="1" x14ac:dyDescent="0.4">
      <c r="C56" s="692" t="s">
        <v>898</v>
      </c>
      <c r="D56" s="691"/>
      <c r="E56" s="691"/>
      <c r="F56" s="783">
        <f>F31+F32+F35+F40+F41+F42+F43+F47+F53</f>
        <v>3530</v>
      </c>
      <c r="H56" s="779" t="s">
        <v>486</v>
      </c>
      <c r="I56" s="782">
        <f>'Hipóteses Gastos'!$C$50</f>
        <v>1.5</v>
      </c>
      <c r="J56" s="781">
        <f>I56*'Hipóteses xerais (2)'!$I$41</f>
        <v>37.5</v>
      </c>
    </row>
    <row r="57" spans="3:10" ht="15" thickTop="1" x14ac:dyDescent="0.35">
      <c r="C57" s="780"/>
      <c r="F57" s="12"/>
      <c r="H57" s="779" t="s">
        <v>488</v>
      </c>
      <c r="I57" s="778" t="s">
        <v>927</v>
      </c>
      <c r="J57" s="777">
        <f>'Hipóteses Gastos'!$D$51</f>
        <v>30</v>
      </c>
    </row>
    <row r="58" spans="3:10" ht="15" thickBot="1" x14ac:dyDescent="0.4">
      <c r="C58" s="13"/>
      <c r="F58" s="12"/>
      <c r="H58" s="776" t="s">
        <v>926</v>
      </c>
      <c r="I58" s="775"/>
      <c r="J58" s="774">
        <f>SUM(J55:J57)</f>
        <v>127.5</v>
      </c>
    </row>
    <row r="59" spans="3:10" x14ac:dyDescent="0.35">
      <c r="F59" s="12"/>
    </row>
    <row r="60" spans="3:10" x14ac:dyDescent="0.35">
      <c r="C60" s="14"/>
      <c r="F60" s="12"/>
    </row>
    <row r="61" spans="3:10" ht="15" thickBot="1" x14ac:dyDescent="0.4">
      <c r="C61" s="13" t="s">
        <v>895</v>
      </c>
      <c r="F61" s="12"/>
    </row>
    <row r="62" spans="3:10" s="10" customFormat="1" ht="30" thickTop="1" thickBot="1" x14ac:dyDescent="0.4">
      <c r="C62" s="773" t="s">
        <v>925</v>
      </c>
      <c r="D62" s="772" t="s">
        <v>767</v>
      </c>
      <c r="E62" s="770" t="s">
        <v>766</v>
      </c>
      <c r="F62" s="771" t="s">
        <v>555</v>
      </c>
      <c r="G62" s="770" t="s">
        <v>558</v>
      </c>
      <c r="H62" s="769" t="s">
        <v>765</v>
      </c>
      <c r="I62" s="770" t="s">
        <v>561</v>
      </c>
      <c r="J62" s="769" t="s">
        <v>924</v>
      </c>
    </row>
    <row r="63" spans="3:10" ht="29" x14ac:dyDescent="0.35">
      <c r="C63" s="463" t="s">
        <v>504</v>
      </c>
      <c r="D63" s="768">
        <f>'Hipóteses xerais (2)'!$C$17</f>
        <v>70</v>
      </c>
      <c r="E63" s="767">
        <f>'Hipóteses Gastos'!$D$60</f>
        <v>40</v>
      </c>
      <c r="F63" s="766">
        <f xml:space="preserve"> (D63*E63)</f>
        <v>2800</v>
      </c>
      <c r="G63" s="765">
        <f>'Hipóteses Gastos'!F60</f>
        <v>0</v>
      </c>
      <c r="H63" s="763">
        <f>F63-G63</f>
        <v>2800</v>
      </c>
      <c r="I63" s="764" t="str">
        <f>'Hipóteses xerais (2)'!$C$36</f>
        <v>Non</v>
      </c>
      <c r="J63" s="763">
        <f>IF(I63="Si",H63,0)</f>
        <v>0</v>
      </c>
    </row>
    <row r="64" spans="3:10" ht="29" x14ac:dyDescent="0.35">
      <c r="C64" s="762" t="s">
        <v>507</v>
      </c>
      <c r="D64" s="761"/>
      <c r="E64" s="761"/>
      <c r="F64" s="760">
        <f>'Hipóteses Gastos'!E61</f>
        <v>10.47</v>
      </c>
      <c r="G64" s="760">
        <f>'Hipóteses Gastos'!F61</f>
        <v>0</v>
      </c>
      <c r="H64" s="758">
        <f>F64-G64</f>
        <v>10.47</v>
      </c>
      <c r="I64" s="759" t="str">
        <f>'Hipóteses Gastos'!G61</f>
        <v>Si</v>
      </c>
      <c r="J64" s="758">
        <f>IF(I64="Si",H64,0)</f>
        <v>10.47</v>
      </c>
    </row>
    <row r="65" spans="3:10" ht="29" x14ac:dyDescent="0.35">
      <c r="C65" s="458" t="s">
        <v>13</v>
      </c>
      <c r="D65" s="757"/>
      <c r="E65" s="757"/>
      <c r="F65" s="756">
        <f>'Hipóteses Gastos'!E62</f>
        <v>2709.61</v>
      </c>
      <c r="G65" s="755">
        <f>'Hipóteses Gastos'!F62</f>
        <v>0</v>
      </c>
      <c r="H65" s="753">
        <f>F65-G65</f>
        <v>2709.61</v>
      </c>
      <c r="I65" s="754" t="str">
        <f>'Hipóteses Gastos'!G62</f>
        <v>Non</v>
      </c>
      <c r="J65" s="753">
        <f>IF(I65="Si",H65,0)</f>
        <v>0</v>
      </c>
    </row>
    <row r="66" spans="3:10" ht="43.5" x14ac:dyDescent="0.35">
      <c r="C66" s="458" t="s">
        <v>14</v>
      </c>
      <c r="D66" s="757"/>
      <c r="E66" s="757"/>
      <c r="F66" s="756">
        <f>'Hipóteses Gastos'!E63</f>
        <v>97.54</v>
      </c>
      <c r="G66" s="755">
        <f>'Hipóteses Gastos'!F63</f>
        <v>0</v>
      </c>
      <c r="H66" s="753">
        <f>F66-G66</f>
        <v>97.54</v>
      </c>
      <c r="I66" s="754" t="str">
        <f>'Hipóteses Gastos'!G63</f>
        <v>Non</v>
      </c>
      <c r="J66" s="753">
        <f>IF(I66="Si",H66,0)</f>
        <v>0</v>
      </c>
    </row>
    <row r="67" spans="3:10" ht="29.5" thickBot="1" x14ac:dyDescent="0.4">
      <c r="C67" s="454" t="s">
        <v>15</v>
      </c>
      <c r="D67" s="752"/>
      <c r="E67" s="752"/>
      <c r="F67" s="751">
        <f>'Hipóteses Gastos'!$E$64</f>
        <v>223.13</v>
      </c>
      <c r="G67" s="750">
        <f>'Hipóteses Gastos'!F64</f>
        <v>0</v>
      </c>
      <c r="H67" s="748">
        <f>F67-G67</f>
        <v>223.13</v>
      </c>
      <c r="I67" s="749" t="str">
        <f>'Hipóteses Gastos'!G64</f>
        <v>Non</v>
      </c>
      <c r="J67" s="748">
        <f>IF(I67="Si",H67,0)</f>
        <v>0</v>
      </c>
    </row>
    <row r="68" spans="3:10" ht="15" thickBot="1" x14ac:dyDescent="0.4">
      <c r="C68" s="747" t="s">
        <v>923</v>
      </c>
      <c r="D68" s="745"/>
      <c r="E68" s="745"/>
      <c r="F68" s="746">
        <f>SUM(F63:F67)</f>
        <v>5840.75</v>
      </c>
      <c r="G68" s="746">
        <f>SUM(G63:G67)</f>
        <v>0</v>
      </c>
      <c r="H68" s="744">
        <f>SUM(H63:H67)</f>
        <v>5840.75</v>
      </c>
      <c r="I68" s="745"/>
      <c r="J68" s="744">
        <f>SUM(J63:J67)</f>
        <v>10.47</v>
      </c>
    </row>
    <row r="69" spans="3:10" ht="15.5" thickTop="1" thickBot="1" x14ac:dyDescent="0.4"/>
    <row r="70" spans="3:10" ht="15.5" thickTop="1" thickBot="1" x14ac:dyDescent="0.4">
      <c r="C70" s="743" t="str">
        <f>'Hipóteses xerais (2)'!B$57</f>
        <v>Total Taxas Municipais e Outras Obrigas Tributarias</v>
      </c>
      <c r="D70" s="742">
        <f>'Hipóteses xerais (2)'!C$57</f>
        <v>0</v>
      </c>
      <c r="E70" s="742">
        <f>'Hipóteses xerais (2)'!D$57</f>
        <v>0</v>
      </c>
      <c r="F70" s="742">
        <f>'Hipóteses xerais (2)'!E$57</f>
        <v>0</v>
      </c>
      <c r="G70" s="742">
        <f>'Hipóteses xerais (2)'!F$57</f>
        <v>0</v>
      </c>
      <c r="H70" s="741">
        <f>'Hipóteses xerais (2)'!G$57</f>
        <v>0</v>
      </c>
    </row>
    <row r="71" spans="3:10" ht="15.5" thickTop="1" thickBot="1" x14ac:dyDescent="0.4"/>
    <row r="72" spans="3:10" ht="15.5" thickTop="1" thickBot="1" x14ac:dyDescent="0.4">
      <c r="C72" s="703" t="s">
        <v>922</v>
      </c>
      <c r="D72" s="691"/>
      <c r="E72" s="691"/>
      <c r="F72" s="691"/>
      <c r="G72" s="740"/>
      <c r="H72" s="739">
        <f>$J$68+$H$70</f>
        <v>10.47</v>
      </c>
    </row>
    <row r="73" spans="3:10" ht="15.5" thickTop="1" thickBot="1" x14ac:dyDescent="0.4"/>
    <row r="74" spans="3:10" ht="15" thickBot="1" x14ac:dyDescent="0.4">
      <c r="D74" s="736" t="s">
        <v>197</v>
      </c>
      <c r="E74" s="738" t="s">
        <v>921</v>
      </c>
      <c r="F74" s="737" t="s">
        <v>920</v>
      </c>
    </row>
    <row r="75" spans="3:10" ht="15" thickBot="1" x14ac:dyDescent="0.4">
      <c r="C75" s="736" t="s">
        <v>565</v>
      </c>
      <c r="D75" s="735">
        <f>'Hipóteses Gastos'!$C$72</f>
        <v>10</v>
      </c>
      <c r="E75" s="734">
        <f>'Hipóteses Gastos'!$D$72</f>
        <v>5</v>
      </c>
      <c r="F75" s="733">
        <f>D75*E75</f>
        <v>50</v>
      </c>
    </row>
    <row r="76" spans="3:10" ht="15" thickBot="1" x14ac:dyDescent="0.4"/>
    <row r="77" spans="3:10" ht="15" thickBot="1" x14ac:dyDescent="0.4">
      <c r="C77" s="667" t="s">
        <v>894</v>
      </c>
      <c r="D77" s="732">
        <f>$F$14+$F$20+$F$56+$H$72+$F$75</f>
        <v>3590.47</v>
      </c>
    </row>
  </sheetData>
  <dataValidations count="2">
    <dataValidation type="list" allowBlank="1" showDropDown="1" showInputMessage="1" showErrorMessage="1" sqref="D26 D23" xr:uid="{9D68DF24-76A0-4FCC-BC59-71426D15A298}">
      <formula1>"Si,Non"</formula1>
    </dataValidation>
    <dataValidation type="list" allowBlank="1" showInputMessage="1" showErrorMessage="1" sqref="I63:I67" xr:uid="{1C273C96-4E30-43FE-AD76-5FA959382CFE}">
      <formula1>"Si,Non"</formula1>
    </dataValidation>
  </dataValidations>
  <printOptions horizontalCentered="1" verticalCentered="1"/>
  <pageMargins left="0.70866141732283472" right="0.70866141732283472" top="0.15748031496062992" bottom="0.15748031496062992" header="0.31496062992125984" footer="0.31496062992125984"/>
  <pageSetup paperSize="9" scale="63" fitToHeight="0" orientation="landscape" horizontalDpi="1200" verticalDpi="1200"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8B267-5834-4FB2-AAB8-8842BB7496BA}">
  <dimension ref="A1:D37"/>
  <sheetViews>
    <sheetView topLeftCell="A3" zoomScale="112" zoomScaleNormal="112" workbookViewId="0">
      <selection activeCell="F2" sqref="F2"/>
    </sheetView>
  </sheetViews>
  <sheetFormatPr baseColWidth="10" defaultColWidth="11.54296875" defaultRowHeight="14.5" x14ac:dyDescent="0.35"/>
  <cols>
    <col min="1" max="1" width="50.453125" customWidth="1"/>
    <col min="2" max="2" width="21.54296875" bestFit="1" customWidth="1"/>
    <col min="3" max="3" width="16.54296875" bestFit="1" customWidth="1"/>
    <col min="4" max="4" width="24" bestFit="1" customWidth="1"/>
  </cols>
  <sheetData>
    <row r="1" spans="1:4" ht="15" thickBot="1" x14ac:dyDescent="0.4">
      <c r="A1" s="934"/>
      <c r="B1" s="933" t="s">
        <v>598</v>
      </c>
      <c r="C1" s="938" t="s">
        <v>596</v>
      </c>
    </row>
    <row r="2" spans="1:4" x14ac:dyDescent="0.35">
      <c r="A2" s="936" t="s">
        <v>977</v>
      </c>
      <c r="B2" s="372" t="s">
        <v>976</v>
      </c>
      <c r="C2" s="937">
        <f>'Hipóteses xerais (2)'!$C$35</f>
        <v>89.32</v>
      </c>
    </row>
    <row r="3" spans="1:4" ht="15" thickBot="1" x14ac:dyDescent="0.4">
      <c r="A3" s="936" t="s">
        <v>975</v>
      </c>
      <c r="B3" s="372" t="s">
        <v>974</v>
      </c>
      <c r="C3" s="935">
        <f>'Hipóteses xerais (2)'!$C$22</f>
        <v>100</v>
      </c>
    </row>
    <row r="4" spans="1:4" ht="15" thickBot="1" x14ac:dyDescent="0.4">
      <c r="A4" s="934" t="s">
        <v>973</v>
      </c>
      <c r="B4" s="933" t="s">
        <v>972</v>
      </c>
      <c r="C4" s="932">
        <f>$D$21</f>
        <v>6699</v>
      </c>
    </row>
    <row r="5" spans="1:4" ht="15" thickBot="1" x14ac:dyDescent="0.4">
      <c r="B5" s="372"/>
    </row>
    <row r="6" spans="1:4" ht="15" thickBot="1" x14ac:dyDescent="0.4">
      <c r="B6" s="916" t="s">
        <v>971</v>
      </c>
      <c r="C6" s="738" t="s">
        <v>970</v>
      </c>
      <c r="D6" s="604" t="s">
        <v>969</v>
      </c>
    </row>
    <row r="7" spans="1:4" x14ac:dyDescent="0.35">
      <c r="A7" s="786" t="s">
        <v>968</v>
      </c>
      <c r="B7" s="896">
        <f>'Hipóteses xerais (2)'!$C$22</f>
        <v>100</v>
      </c>
      <c r="C7" s="931">
        <f>'Hipóteses xerais (2)'!$C$23</f>
        <v>1</v>
      </c>
      <c r="D7" s="930">
        <f>B7*C7</f>
        <v>100</v>
      </c>
    </row>
    <row r="8" spans="1:4" x14ac:dyDescent="0.35">
      <c r="A8" s="779" t="s">
        <v>967</v>
      </c>
      <c r="B8" s="929">
        <f>'Hipóteses xerais (2)'!$C$22</f>
        <v>100</v>
      </c>
      <c r="C8" s="928">
        <f>'Hipóteses xerais (2)'!$C$24</f>
        <v>0.5</v>
      </c>
      <c r="D8" s="927">
        <f>B8*C8</f>
        <v>50</v>
      </c>
    </row>
    <row r="9" spans="1:4" ht="15" thickBot="1" x14ac:dyDescent="0.4">
      <c r="A9" s="919" t="s">
        <v>966</v>
      </c>
      <c r="B9" s="926">
        <f>'Hipóteses xerais (2)'!$C$22</f>
        <v>100</v>
      </c>
      <c r="C9" s="925">
        <f>'Hipóteses xerais (2)'!$C$25</f>
        <v>0.75</v>
      </c>
      <c r="D9" s="924">
        <f>B9*C9</f>
        <v>75</v>
      </c>
    </row>
    <row r="10" spans="1:4" ht="15" thickBot="1" x14ac:dyDescent="0.4"/>
    <row r="11" spans="1:4" ht="15" thickBot="1" x14ac:dyDescent="0.4">
      <c r="B11" s="916" t="s">
        <v>965</v>
      </c>
      <c r="C11" s="915" t="s">
        <v>960</v>
      </c>
      <c r="D11" s="604" t="s">
        <v>964</v>
      </c>
    </row>
    <row r="12" spans="1:4" x14ac:dyDescent="0.35">
      <c r="A12" s="786" t="s">
        <v>963</v>
      </c>
      <c r="B12" s="923">
        <f>'Hipóteses xerais (2)'!$C$26</f>
        <v>0.5</v>
      </c>
      <c r="C12" s="914">
        <f>$C$2</f>
        <v>89.32</v>
      </c>
      <c r="D12" s="922">
        <f>B12*C12</f>
        <v>44.66</v>
      </c>
    </row>
    <row r="13" spans="1:4" x14ac:dyDescent="0.35">
      <c r="A13" s="779" t="s">
        <v>962</v>
      </c>
      <c r="B13" s="921">
        <f>'Hipóteses xerais (2)'!$C$27</f>
        <v>0.5</v>
      </c>
      <c r="C13" s="913">
        <f>$C$2</f>
        <v>89.32</v>
      </c>
      <c r="D13" s="920">
        <f>B13*C13</f>
        <v>44.66</v>
      </c>
    </row>
    <row r="14" spans="1:4" ht="15" thickBot="1" x14ac:dyDescent="0.4">
      <c r="A14" s="919" t="s">
        <v>961</v>
      </c>
      <c r="B14" s="918">
        <f>'Hipóteses xerais (2)'!$C$28</f>
        <v>0</v>
      </c>
      <c r="C14" s="912">
        <f>$C$2</f>
        <v>89.32</v>
      </c>
      <c r="D14" s="917">
        <f>B14*C14</f>
        <v>0</v>
      </c>
    </row>
    <row r="16" spans="1:4" s="10" customFormat="1" ht="15" thickBot="1" x14ac:dyDescent="0.4"/>
    <row r="17" spans="1:4" ht="15" thickBot="1" x14ac:dyDescent="0.4">
      <c r="B17" s="916" t="str">
        <f>$D$6</f>
        <v>Prezo a Aplicar (€/MWh)</v>
      </c>
      <c r="C17" s="915" t="s">
        <v>960</v>
      </c>
      <c r="D17" s="898" t="s">
        <v>957</v>
      </c>
    </row>
    <row r="18" spans="1:4" x14ac:dyDescent="0.35">
      <c r="A18" s="897" t="s">
        <v>956</v>
      </c>
      <c r="B18" s="896">
        <f>$D7</f>
        <v>100</v>
      </c>
      <c r="C18" s="914">
        <f>$D12</f>
        <v>44.66</v>
      </c>
      <c r="D18" s="894">
        <f>B18*C18</f>
        <v>4466</v>
      </c>
    </row>
    <row r="19" spans="1:4" x14ac:dyDescent="0.35">
      <c r="A19" s="893" t="s">
        <v>955</v>
      </c>
      <c r="B19" s="892">
        <f>$D8</f>
        <v>50</v>
      </c>
      <c r="C19" s="913">
        <f>$D13</f>
        <v>44.66</v>
      </c>
      <c r="D19" s="888">
        <f>B19*C19</f>
        <v>2233</v>
      </c>
    </row>
    <row r="20" spans="1:4" ht="15" thickBot="1" x14ac:dyDescent="0.4">
      <c r="A20" s="776" t="s">
        <v>954</v>
      </c>
      <c r="B20" s="890">
        <f>$D9</f>
        <v>75</v>
      </c>
      <c r="C20" s="912">
        <f>$D14</f>
        <v>0</v>
      </c>
      <c r="D20" s="888">
        <f>B20*C20</f>
        <v>0</v>
      </c>
    </row>
    <row r="21" spans="1:4" ht="29.5" thickBot="1" x14ac:dyDescent="0.4">
      <c r="A21" s="887" t="s">
        <v>953</v>
      </c>
      <c r="B21" s="792"/>
      <c r="C21" s="911">
        <f>SUM(C18:C20)</f>
        <v>89.32</v>
      </c>
      <c r="D21" s="884">
        <f>SUM(D18:D20)</f>
        <v>6699</v>
      </c>
    </row>
    <row r="22" spans="1:4" ht="16" x14ac:dyDescent="0.35">
      <c r="A22" s="907"/>
      <c r="B22" s="910"/>
      <c r="C22" s="909"/>
      <c r="D22" s="908"/>
    </row>
    <row r="23" spans="1:4" ht="16.5" thickBot="1" x14ac:dyDescent="0.4">
      <c r="A23" s="907"/>
      <c r="B23" s="65"/>
      <c r="C23" s="906"/>
      <c r="D23" s="905"/>
    </row>
    <row r="24" spans="1:4" ht="29.5" thickBot="1" x14ac:dyDescent="0.4">
      <c r="A24" s="904" t="s">
        <v>959</v>
      </c>
      <c r="B24" s="903"/>
      <c r="C24" s="902"/>
      <c r="D24" s="901"/>
    </row>
    <row r="25" spans="1:4" ht="29.5" thickBot="1" x14ac:dyDescent="0.4">
      <c r="B25" s="900" t="str">
        <f>$D17</f>
        <v>Valor da Enerxía (€)</v>
      </c>
      <c r="C25" s="899" t="s">
        <v>958</v>
      </c>
      <c r="D25" s="898" t="s">
        <v>957</v>
      </c>
    </row>
    <row r="26" spans="1:4" x14ac:dyDescent="0.35">
      <c r="A26" s="897" t="s">
        <v>956</v>
      </c>
      <c r="B26" s="896">
        <f>$D18</f>
        <v>4466</v>
      </c>
      <c r="C26" s="895">
        <f>100%</f>
        <v>1</v>
      </c>
      <c r="D26" s="894">
        <f>B26*C26</f>
        <v>4466</v>
      </c>
    </row>
    <row r="27" spans="1:4" x14ac:dyDescent="0.35">
      <c r="A27" s="893" t="s">
        <v>955</v>
      </c>
      <c r="B27" s="892">
        <f>$D19</f>
        <v>2233</v>
      </c>
      <c r="C27" s="891">
        <f>'Hipóteses xerais (2)'!$C$29</f>
        <v>1</v>
      </c>
      <c r="D27" s="888">
        <f>B27*C27</f>
        <v>2233</v>
      </c>
    </row>
    <row r="28" spans="1:4" ht="15" thickBot="1" x14ac:dyDescent="0.4">
      <c r="A28" s="776" t="s">
        <v>954</v>
      </c>
      <c r="B28" s="890">
        <f>$D20</f>
        <v>0</v>
      </c>
      <c r="C28" s="889">
        <v>1</v>
      </c>
      <c r="D28" s="888">
        <f>B28*C28</f>
        <v>0</v>
      </c>
    </row>
    <row r="29" spans="1:4" ht="29.5" thickBot="1" x14ac:dyDescent="0.4">
      <c r="A29" s="887" t="s">
        <v>953</v>
      </c>
      <c r="B29" s="886">
        <f>SUM(B26:B28)</f>
        <v>6699</v>
      </c>
      <c r="C29" s="885">
        <f>D29/B29</f>
        <v>1</v>
      </c>
      <c r="D29" s="884">
        <f>SUM(D26:D28)</f>
        <v>6699</v>
      </c>
    </row>
    <row r="32" spans="1:4" ht="15" thickBot="1" x14ac:dyDescent="0.4">
      <c r="A32" s="13" t="s">
        <v>952</v>
      </c>
    </row>
    <row r="33" spans="1:4" ht="15" thickBot="1" x14ac:dyDescent="0.4">
      <c r="B33" s="883" t="s">
        <v>951</v>
      </c>
      <c r="C33" s="882" t="s">
        <v>950</v>
      </c>
      <c r="D33" s="881" t="s">
        <v>949</v>
      </c>
    </row>
    <row r="34" spans="1:4" x14ac:dyDescent="0.35">
      <c r="A34" s="620" t="s">
        <v>948</v>
      </c>
      <c r="B34" s="880">
        <f>'Hipóteses xerais (2)'!$F$39</f>
        <v>25</v>
      </c>
      <c r="C34" s="879">
        <f>(12*'Hipóteses xerais (2)'!$F$40)</f>
        <v>0</v>
      </c>
      <c r="D34" s="878">
        <f>B34*C34</f>
        <v>0</v>
      </c>
    </row>
    <row r="35" spans="1:4" x14ac:dyDescent="0.35">
      <c r="A35" s="877" t="s">
        <v>794</v>
      </c>
      <c r="B35" s="876">
        <f>'Hipóteses xerais (2)'!$F$39</f>
        <v>25</v>
      </c>
      <c r="C35" s="875">
        <f>('Hipóteses xerais (2)'!$F$41*12)</f>
        <v>98.818799999999996</v>
      </c>
      <c r="D35" s="874">
        <f>B35*C35</f>
        <v>2470.4699999999998</v>
      </c>
    </row>
    <row r="36" spans="1:4" s="10" customFormat="1" ht="29.5" thickBot="1" x14ac:dyDescent="0.4">
      <c r="A36" s="873" t="s">
        <v>947</v>
      </c>
      <c r="B36" s="872">
        <f>'Hipóteses xerais (2)'!$F$39</f>
        <v>25</v>
      </c>
      <c r="C36" s="871">
        <f>12*'Hipóteses xerais (2)'!$F$42</f>
        <v>0</v>
      </c>
      <c r="D36" s="870">
        <f>B36*C36</f>
        <v>0</v>
      </c>
    </row>
    <row r="37" spans="1:4" s="10" customFormat="1" ht="29.5" thickBot="1" x14ac:dyDescent="0.4">
      <c r="A37" s="869" t="s">
        <v>946</v>
      </c>
      <c r="B37" s="868"/>
      <c r="C37" s="867"/>
      <c r="D37" s="866">
        <f>SUM(D34:D36)</f>
        <v>2470.4699999999998</v>
      </c>
    </row>
  </sheetData>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8FE23-AB51-408C-AD35-A8284F2B67D3}">
  <dimension ref="B2:AC53"/>
  <sheetViews>
    <sheetView topLeftCell="A31" workbookViewId="0">
      <selection activeCell="F2" sqref="F2"/>
    </sheetView>
  </sheetViews>
  <sheetFormatPr baseColWidth="10" defaultColWidth="11.453125" defaultRowHeight="14.5" x14ac:dyDescent="0.35"/>
  <cols>
    <col min="2" max="2" width="52.54296875" bestFit="1" customWidth="1"/>
    <col min="3" max="4" width="14.453125" bestFit="1" customWidth="1"/>
    <col min="5" max="7" width="13" bestFit="1" customWidth="1"/>
    <col min="8" max="28" width="12.54296875" bestFit="1" customWidth="1"/>
    <col min="29" max="29" width="20.453125" bestFit="1" customWidth="1"/>
  </cols>
  <sheetData>
    <row r="2" spans="2:29" x14ac:dyDescent="0.35">
      <c r="B2" s="13" t="s">
        <v>1026</v>
      </c>
    </row>
    <row r="3" spans="2:29" ht="15" thickBot="1" x14ac:dyDescent="0.4"/>
    <row r="4" spans="2:29" ht="15" thickTop="1" x14ac:dyDescent="0.35">
      <c r="B4" s="537"/>
      <c r="C4" s="684">
        <v>0</v>
      </c>
      <c r="D4" s="684">
        <v>1</v>
      </c>
      <c r="E4" s="684">
        <v>2</v>
      </c>
      <c r="F4" s="684">
        <v>3</v>
      </c>
      <c r="G4" s="684">
        <v>4</v>
      </c>
      <c r="H4" s="684">
        <v>5</v>
      </c>
      <c r="I4" s="684">
        <v>6</v>
      </c>
      <c r="J4" s="684">
        <v>7</v>
      </c>
      <c r="K4" s="684">
        <v>8</v>
      </c>
      <c r="L4" s="684">
        <v>9</v>
      </c>
      <c r="M4" s="684">
        <v>10</v>
      </c>
      <c r="N4" s="684">
        <v>11</v>
      </c>
      <c r="O4" s="684">
        <v>12</v>
      </c>
      <c r="P4" s="684">
        <v>13</v>
      </c>
      <c r="Q4" s="684">
        <v>14</v>
      </c>
      <c r="R4" s="684">
        <v>15</v>
      </c>
      <c r="S4" s="684">
        <v>16</v>
      </c>
      <c r="T4" s="684">
        <v>17</v>
      </c>
      <c r="U4" s="684">
        <v>18</v>
      </c>
      <c r="V4" s="684">
        <v>19</v>
      </c>
      <c r="W4" s="684">
        <v>20</v>
      </c>
      <c r="X4" s="684">
        <v>21</v>
      </c>
      <c r="Y4" s="684">
        <v>22</v>
      </c>
      <c r="Z4" s="684">
        <v>23</v>
      </c>
      <c r="AA4" s="684">
        <v>24</v>
      </c>
      <c r="AB4" s="685">
        <v>25</v>
      </c>
      <c r="AC4" s="1008" t="s">
        <v>1025</v>
      </c>
    </row>
    <row r="5" spans="2:29" ht="15" thickBot="1" x14ac:dyDescent="0.4">
      <c r="B5" s="1007" t="s">
        <v>1024</v>
      </c>
      <c r="C5" s="1006"/>
      <c r="D5" s="1005">
        <f>'Conta explotación'!F$5</f>
        <v>2025</v>
      </c>
      <c r="E5" s="1005">
        <f>'Conta explotación'!G$5</f>
        <v>2026</v>
      </c>
      <c r="F5" s="1005">
        <f>'Conta explotación'!H$5</f>
        <v>2027</v>
      </c>
      <c r="G5" s="1005">
        <f>'Conta explotación'!I$5</f>
        <v>2028</v>
      </c>
      <c r="H5" s="1005">
        <f>'Conta explotación'!J$5</f>
        <v>2029</v>
      </c>
      <c r="I5" s="1005">
        <f>'Conta explotación'!K$5</f>
        <v>2030</v>
      </c>
      <c r="J5" s="1005">
        <f>'Conta explotación'!L$5</f>
        <v>2031</v>
      </c>
      <c r="K5" s="1005">
        <f>'Conta explotación'!M$5</f>
        <v>2032</v>
      </c>
      <c r="L5" s="1005">
        <f>'Conta explotación'!N$5</f>
        <v>2033</v>
      </c>
      <c r="M5" s="1005">
        <f>'Conta explotación'!O$5</f>
        <v>2034</v>
      </c>
      <c r="N5" s="1005">
        <f>'Conta explotación'!P$5</f>
        <v>2035</v>
      </c>
      <c r="O5" s="1005">
        <f>'Conta explotación'!Q$5</f>
        <v>2036</v>
      </c>
      <c r="P5" s="1005">
        <f>'Conta explotación'!R$5</f>
        <v>2037</v>
      </c>
      <c r="Q5" s="1005">
        <f>'Conta explotación'!S$5</f>
        <v>2038</v>
      </c>
      <c r="R5" s="1005">
        <f>'Conta explotación'!T$5</f>
        <v>2039</v>
      </c>
      <c r="S5" s="1005">
        <f>'Conta explotación'!U$5</f>
        <v>2040</v>
      </c>
      <c r="T5" s="1005">
        <f>'Conta explotación'!V$5</f>
        <v>2041</v>
      </c>
      <c r="U5" s="1005">
        <f>'Conta explotación'!W$5</f>
        <v>2042</v>
      </c>
      <c r="V5" s="1005">
        <f>'Conta explotación'!X$5</f>
        <v>2043</v>
      </c>
      <c r="W5" s="1005">
        <f>'Conta explotación'!Y$5</f>
        <v>2044</v>
      </c>
      <c r="X5" s="1005">
        <f>'Conta explotación'!Z$5</f>
        <v>2045</v>
      </c>
      <c r="Y5" s="1005">
        <f>'Conta explotación'!AA$5</f>
        <v>2046</v>
      </c>
      <c r="Z5" s="1005">
        <f>'Conta explotación'!AB$5</f>
        <v>2047</v>
      </c>
      <c r="AA5" s="1005">
        <f>'Conta explotación'!AC$5</f>
        <v>2048</v>
      </c>
      <c r="AB5" s="1004">
        <f>'Conta explotación'!AD$5</f>
        <v>2049</v>
      </c>
      <c r="AC5" s="1003" t="s">
        <v>1023</v>
      </c>
    </row>
    <row r="6" spans="2:29" ht="15.5" thickTop="1" thickBot="1" x14ac:dyDescent="0.4">
      <c r="B6" s="1002" t="s">
        <v>1022</v>
      </c>
      <c r="D6" s="729"/>
      <c r="E6" s="729"/>
      <c r="F6" s="729"/>
      <c r="G6" s="729"/>
      <c r="H6" s="729"/>
      <c r="I6" s="729"/>
      <c r="J6" s="729"/>
      <c r="K6" s="729"/>
      <c r="L6" s="729"/>
      <c r="M6" s="729"/>
      <c r="N6" s="729"/>
      <c r="O6" s="729"/>
      <c r="P6" s="729"/>
      <c r="Q6" s="729"/>
      <c r="R6" s="729"/>
      <c r="S6" s="729"/>
      <c r="T6" s="729"/>
      <c r="U6" s="729"/>
      <c r="V6" s="729"/>
      <c r="W6" s="729"/>
      <c r="X6" s="729"/>
      <c r="Y6" s="729"/>
      <c r="Z6" s="729"/>
      <c r="AA6" s="729"/>
      <c r="AB6" s="729"/>
      <c r="AC6" s="1001"/>
    </row>
    <row r="7" spans="2:29" x14ac:dyDescent="0.35">
      <c r="B7" s="1000" t="s">
        <v>1021</v>
      </c>
      <c r="C7" s="995"/>
      <c r="D7" s="995">
        <f>'Conta explotación'!F51</f>
        <v>7259</v>
      </c>
      <c r="E7" s="995">
        <f>'Conta explotación'!G51</f>
        <v>7466.6689999999999</v>
      </c>
      <c r="F7" s="995">
        <f>'Conta explotación'!H51</f>
        <v>7680.7757389999988</v>
      </c>
      <c r="G7" s="995">
        <f>'Conta explotación'!I51</f>
        <v>7901.5197869089989</v>
      </c>
      <c r="H7" s="995">
        <f>'Conta explotación'!J51</f>
        <v>8129.1069003031771</v>
      </c>
      <c r="I7" s="995">
        <f>'Conta explotación'!K51</f>
        <v>8363.7492142125739</v>
      </c>
      <c r="J7" s="995">
        <f>'Conta explotación'!L51</f>
        <v>8605.6654398531628</v>
      </c>
      <c r="K7" s="995">
        <f>'Conta explotación'!M51</f>
        <v>8855.0810684886092</v>
      </c>
      <c r="L7" s="995">
        <f>'Conta explotación'!N51</f>
        <v>9112.2285816117546</v>
      </c>
      <c r="M7" s="995">
        <f>'Conta explotación'!O51</f>
        <v>9377.3476676417195</v>
      </c>
      <c r="N7" s="995">
        <f>'Conta explotación'!P51</f>
        <v>9650.6854453386113</v>
      </c>
      <c r="O7" s="995">
        <f>'Conta explotación'!Q51</f>
        <v>9932.4966941441089</v>
      </c>
      <c r="P7" s="995">
        <f>'Conta explotación'!R51</f>
        <v>10223.044091662574</v>
      </c>
      <c r="Q7" s="995">
        <f>'Conta explotación'!S51</f>
        <v>10522.598458504111</v>
      </c>
      <c r="R7" s="995">
        <f>'Conta explotación'!T51</f>
        <v>10831.439010717742</v>
      </c>
      <c r="S7" s="995">
        <f>'Conta explotación'!U51</f>
        <v>11149.853620049989</v>
      </c>
      <c r="T7" s="995">
        <f>'Conta explotación'!V51</f>
        <v>11478.139082271537</v>
      </c>
      <c r="U7" s="995">
        <f>'Conta explotación'!W51</f>
        <v>11816.601393821955</v>
      </c>
      <c r="V7" s="995">
        <f>'Conta explotación'!X51</f>
        <v>12165.556037030434</v>
      </c>
      <c r="W7" s="995">
        <f>'Conta explotación'!Y51</f>
        <v>12525.328274178379</v>
      </c>
      <c r="X7" s="995">
        <f>'Conta explotación'!Z51</f>
        <v>12896.253450677903</v>
      </c>
      <c r="Y7" s="995">
        <f>'Conta explotación'!AA51</f>
        <v>13278.677307648917</v>
      </c>
      <c r="Z7" s="995">
        <f>'Conta explotación'!AB51</f>
        <v>13672.956304186033</v>
      </c>
      <c r="AA7" s="995">
        <f>'Conta explotación'!AC51</f>
        <v>14079.4579496158</v>
      </c>
      <c r="AB7" s="994">
        <f>'Conta explotación'!AD51</f>
        <v>14498.561146053889</v>
      </c>
      <c r="AC7" s="987">
        <f t="shared" ref="AC7:AC15" si="0">SUM(C7:AB7)</f>
        <v>261472.79166392199</v>
      </c>
    </row>
    <row r="8" spans="2:29" x14ac:dyDescent="0.35">
      <c r="B8" s="999" t="s">
        <v>1020</v>
      </c>
      <c r="C8" s="995"/>
      <c r="D8" s="995">
        <f>IF($E$40="Non",(-('Conta explotación'!F6+'Conta explotación'!F7)),0)</f>
        <v>0</v>
      </c>
      <c r="E8" s="995">
        <f>IF($E$40="Non",(-('Conta explotación'!G6+'Conta explotación'!G7)),0)</f>
        <v>0</v>
      </c>
      <c r="F8" s="995">
        <f>IF($E$40="Non",(-('Conta explotación'!H6+'Conta explotación'!H7)),0)</f>
        <v>0</v>
      </c>
      <c r="G8" s="995">
        <f>IF($E$40="Non",(-('Conta explotación'!I6+'Conta explotación'!I7)),0)</f>
        <v>0</v>
      </c>
      <c r="H8" s="995">
        <f>IF($E$40="Non",(-('Conta explotación'!J6+'Conta explotación'!J7)),0)</f>
        <v>0</v>
      </c>
      <c r="I8" s="995">
        <f>IF($E$40="Non",(-('Conta explotación'!K6+'Conta explotación'!K7)),0)</f>
        <v>0</v>
      </c>
      <c r="J8" s="995">
        <f>IF($E$40="Non",(-('Conta explotación'!L6+'Conta explotación'!L7)),0)</f>
        <v>0</v>
      </c>
      <c r="K8" s="995">
        <f>IF($E$40="Non",(-('Conta explotación'!M6+'Conta explotación'!M7)),0)</f>
        <v>0</v>
      </c>
      <c r="L8" s="995">
        <f>IF($E$40="Non",(-('Conta explotación'!N6+'Conta explotación'!N7)),0)</f>
        <v>0</v>
      </c>
      <c r="M8" s="995">
        <f>IF($E$40="Non",(-('Conta explotación'!O6+'Conta explotación'!O7)),0)</f>
        <v>0</v>
      </c>
      <c r="N8" s="995">
        <f>IF($E$40="Non",(-('Conta explotación'!P6+'Conta explotación'!P7)),0)</f>
        <v>0</v>
      </c>
      <c r="O8" s="995">
        <f>IF($E$40="Non",(-('Conta explotación'!Q6+'Conta explotación'!Q7)),0)</f>
        <v>0</v>
      </c>
      <c r="P8" s="995">
        <f>IF($E$40="Non",(-('Conta explotación'!R6+'Conta explotación'!R7)),0)</f>
        <v>0</v>
      </c>
      <c r="Q8" s="995">
        <f>IF($E$40="Non",(-('Conta explotación'!S6+'Conta explotación'!S7)),0)</f>
        <v>0</v>
      </c>
      <c r="R8" s="995">
        <f>IF($E$40="Non",(-('Conta explotación'!T6+'Conta explotación'!T7)),0)</f>
        <v>0</v>
      </c>
      <c r="S8" s="995">
        <f>IF($E$40="Non",(-('Conta explotación'!U6+'Conta explotación'!U7)),0)</f>
        <v>0</v>
      </c>
      <c r="T8" s="995">
        <f>IF($E$40="Non",(-('Conta explotación'!V6+'Conta explotación'!V7)),0)</f>
        <v>0</v>
      </c>
      <c r="U8" s="995">
        <f>IF($E$40="Non",(-('Conta explotación'!W6+'Conta explotación'!W7)),0)</f>
        <v>0</v>
      </c>
      <c r="V8" s="995">
        <f>IF($E$40="Non",(-('Conta explotación'!X6+'Conta explotación'!X7)),0)</f>
        <v>0</v>
      </c>
      <c r="W8" s="995">
        <f>IF($E$40="Non",(-('Conta explotación'!Y6+'Conta explotación'!Y7)),0)</f>
        <v>0</v>
      </c>
      <c r="X8" s="995">
        <f>IF($E$40="Non",(-('Conta explotación'!Z6+'Conta explotación'!Z7)),0)</f>
        <v>0</v>
      </c>
      <c r="Y8" s="995">
        <f>IF($E$40="Non",(-('Conta explotación'!AA6+'Conta explotación'!AA7)),0)</f>
        <v>0</v>
      </c>
      <c r="Z8" s="995">
        <f>IF($E$40="Non",(-('Conta explotación'!AB6+'Conta explotación'!AB7)),0)</f>
        <v>0</v>
      </c>
      <c r="AA8" s="995">
        <f>IF($E$40="Non",(-('Conta explotación'!AC6+'Conta explotación'!AC7)),0)</f>
        <v>0</v>
      </c>
      <c r="AB8" s="994">
        <f>IF($E$40="Non",(-('Conta explotación'!AD6+'Conta explotación'!AD7)),0)</f>
        <v>0</v>
      </c>
      <c r="AC8" s="987">
        <f t="shared" si="0"/>
        <v>0</v>
      </c>
    </row>
    <row r="9" spans="2:29" x14ac:dyDescent="0.35">
      <c r="B9" s="997" t="s">
        <v>1019</v>
      </c>
      <c r="C9" s="995"/>
      <c r="D9" s="995">
        <f>'Conta explotación'!F$44</f>
        <v>0</v>
      </c>
      <c r="E9" s="995">
        <f>'Conta explotación'!G44</f>
        <v>0</v>
      </c>
      <c r="F9" s="995">
        <f>'Conta explotación'!H44</f>
        <v>0</v>
      </c>
      <c r="G9" s="995">
        <f>'Conta explotación'!I44</f>
        <v>0</v>
      </c>
      <c r="H9" s="995">
        <f>'Conta explotación'!J44</f>
        <v>0</v>
      </c>
      <c r="I9" s="995">
        <f>'Conta explotación'!K44</f>
        <v>0</v>
      </c>
      <c r="J9" s="995">
        <f>'Conta explotación'!L44</f>
        <v>0</v>
      </c>
      <c r="K9" s="995">
        <f>'Conta explotación'!M44</f>
        <v>0</v>
      </c>
      <c r="L9" s="995">
        <f>'Conta explotación'!N44</f>
        <v>0</v>
      </c>
      <c r="M9" s="995">
        <f>'Conta explotación'!O44</f>
        <v>0</v>
      </c>
      <c r="N9" s="995">
        <f>'Conta explotación'!P44</f>
        <v>0</v>
      </c>
      <c r="O9" s="995">
        <f>'Conta explotación'!Q44</f>
        <v>0</v>
      </c>
      <c r="P9" s="995">
        <f>'Conta explotación'!R44</f>
        <v>0</v>
      </c>
      <c r="Q9" s="995">
        <f>'Conta explotación'!S44</f>
        <v>0</v>
      </c>
      <c r="R9" s="995">
        <f>'Conta explotación'!T44</f>
        <v>0</v>
      </c>
      <c r="S9" s="995">
        <f>'Conta explotación'!U44</f>
        <v>0</v>
      </c>
      <c r="T9" s="995">
        <f>'Conta explotación'!V44</f>
        <v>0</v>
      </c>
      <c r="U9" s="995">
        <f>'Conta explotación'!W44</f>
        <v>0</v>
      </c>
      <c r="V9" s="995">
        <f>'Conta explotación'!X44</f>
        <v>0</v>
      </c>
      <c r="W9" s="995">
        <f>'Conta explotación'!Y44</f>
        <v>0</v>
      </c>
      <c r="X9" s="995">
        <f>'Conta explotación'!Z44</f>
        <v>0</v>
      </c>
      <c r="Y9" s="995">
        <f>'Conta explotación'!AA44</f>
        <v>0</v>
      </c>
      <c r="Z9" s="995">
        <f>'Conta explotación'!AB44</f>
        <v>0</v>
      </c>
      <c r="AA9" s="995">
        <f>'Conta explotación'!AC44</f>
        <v>0</v>
      </c>
      <c r="AB9" s="994">
        <f>'Conta explotación'!AD44</f>
        <v>0</v>
      </c>
      <c r="AC9" s="985">
        <f t="shared" si="0"/>
        <v>0</v>
      </c>
    </row>
    <row r="10" spans="2:29" ht="29" x14ac:dyDescent="0.35">
      <c r="B10" s="998" t="s">
        <v>1018</v>
      </c>
      <c r="C10" s="995"/>
      <c r="D10" s="995">
        <f>'Conta explotación'!F40/12</f>
        <v>299.20583333333332</v>
      </c>
      <c r="E10" s="995">
        <f>('Conta explotación'!G40/12)-D10</f>
        <v>-0.87250000000000227</v>
      </c>
      <c r="F10" s="995">
        <f>('Conta explotación'!H40/12)-(D10+E10)</f>
        <v>9.5466666666666242</v>
      </c>
      <c r="G10" s="995">
        <f>('Conta explotación'!I40/12)-(D10+E10+F10)</f>
        <v>9.8521600000000831</v>
      </c>
      <c r="H10" s="995">
        <f>('Conta explotación'!J40/12)-(SUM(D10:G10))</f>
        <v>10.167429120000008</v>
      </c>
      <c r="I10" s="995">
        <f>('Conta explotación'!K40/12)-SUM(D10:H10)</f>
        <v>10.49278685183998</v>
      </c>
      <c r="J10" s="995">
        <f>(('Conta explotación'!L40/12)-SUM(D10:I10))</f>
        <v>10.828556031098913</v>
      </c>
      <c r="K10" s="995">
        <f>('Conta explotación'!M40/12)-SUM(D10:J10)</f>
        <v>11.17506982409401</v>
      </c>
      <c r="L10" s="995">
        <f>('Conta explotación'!N40/12)-SUM(D10:K10)</f>
        <v>11.532672058465153</v>
      </c>
      <c r="M10" s="995">
        <f>(('Conta explotación'!O40/12)-SUM(D10:L10))</f>
        <v>11.901717564335911</v>
      </c>
      <c r="N10" s="995">
        <f>('Conta explotación'!P40/12)-SUM(D10:M10)</f>
        <v>12.282572526394688</v>
      </c>
      <c r="O10" s="995">
        <f>('Conta explotación'!Q40/12)-SUM(D10:N10)</f>
        <v>12.675614847239387</v>
      </c>
      <c r="P10" s="995">
        <f>('Conta explotación'!R40/12)-SUM(D10:O10)</f>
        <v>13.08123452235094</v>
      </c>
      <c r="Q10" s="995">
        <f>('Conta explotación'!S40/12)-SUM(D10:P10)</f>
        <v>13.499834027066299</v>
      </c>
      <c r="R10" s="995">
        <f>('Conta explotación'!T40/12)-SUM(D10:Q10)</f>
        <v>13.93182871593234</v>
      </c>
      <c r="S10" s="995">
        <f>('Conta explotación'!U40/12)-SUM(D10:R10)</f>
        <v>14.377647234842129</v>
      </c>
      <c r="T10" s="995">
        <f>('Conta explotación'!V40/12)-SUM(D10:S10)</f>
        <v>14.837731946357167</v>
      </c>
      <c r="U10" s="995">
        <f>('Conta explotación'!W40/12)-SUM(D10:T10)</f>
        <v>15.3125393686405</v>
      </c>
      <c r="V10" s="995">
        <f>('Conta explotación'!X40/12)-SUM(D10:U10)</f>
        <v>15.802540628437157</v>
      </c>
      <c r="W10" s="995">
        <f>('Conta explotación'!Y40/12)-SUM(D10:V10)</f>
        <v>16.308221928546914</v>
      </c>
      <c r="X10" s="995">
        <f>('Conta explotación'!Z40/12)-SUM(D10:W10)</f>
        <v>16.830085030260648</v>
      </c>
      <c r="Y10" s="995">
        <f>('Conta explotación'!AA40/12)-SUM(D10:X10)</f>
        <v>17.368647751228877</v>
      </c>
      <c r="Z10" s="995">
        <f>('Conta explotación'!AB40/12)-SUM(D10:Y10)</f>
        <v>17.924444479268232</v>
      </c>
      <c r="AA10" s="995">
        <f>('Conta explotación'!AC40/12)-SUM(D10:Z10)</f>
        <v>18.498026702604648</v>
      </c>
      <c r="AB10" s="994">
        <f>-SUM(D10:AA10)</f>
        <v>-596.56136115900392</v>
      </c>
      <c r="AC10" s="985">
        <f t="shared" si="0"/>
        <v>0</v>
      </c>
    </row>
    <row r="11" spans="2:29" x14ac:dyDescent="0.35">
      <c r="B11" s="998" t="s">
        <v>1017</v>
      </c>
      <c r="C11" s="995"/>
      <c r="D11" s="995">
        <f>-('Conta explotación'!F14)</f>
        <v>-1680</v>
      </c>
      <c r="E11" s="995">
        <f>-('Conta explotación'!G14)</f>
        <v>-1680</v>
      </c>
      <c r="F11" s="995">
        <f>-('Conta explotación'!H14)</f>
        <v>-1680</v>
      </c>
      <c r="G11" s="995">
        <f>-('Conta explotación'!I14)</f>
        <v>-1680</v>
      </c>
      <c r="H11" s="995">
        <f>-('Conta explotación'!J14)</f>
        <v>-1680</v>
      </c>
      <c r="I11" s="995">
        <f>-('Conta explotación'!K14)</f>
        <v>-1680</v>
      </c>
      <c r="J11" s="995">
        <f>-('Conta explotación'!L14)</f>
        <v>-1680</v>
      </c>
      <c r="K11" s="995">
        <f>-('Conta explotación'!M14)</f>
        <v>-1680</v>
      </c>
      <c r="L11" s="995">
        <f>-('Conta explotación'!N14)</f>
        <v>-1680</v>
      </c>
      <c r="M11" s="995">
        <f>-('Conta explotación'!O14)</f>
        <v>-1680</v>
      </c>
      <c r="N11" s="995">
        <f>-('Conta explotación'!P14)</f>
        <v>-1680</v>
      </c>
      <c r="O11" s="995">
        <f>-('Conta explotación'!Q14)</f>
        <v>-1680</v>
      </c>
      <c r="P11" s="995">
        <f>-('Conta explotación'!R14)</f>
        <v>-1680</v>
      </c>
      <c r="Q11" s="995">
        <f>-('Conta explotación'!S14)</f>
        <v>-1680</v>
      </c>
      <c r="R11" s="995">
        <f>-('Conta explotación'!T14)</f>
        <v>-1680</v>
      </c>
      <c r="S11" s="995">
        <f>-('Conta explotación'!U14)</f>
        <v>-1680</v>
      </c>
      <c r="T11" s="995">
        <f>-('Conta explotación'!V14)</f>
        <v>-1680</v>
      </c>
      <c r="U11" s="995">
        <f>-('Conta explotación'!W14)</f>
        <v>-1680</v>
      </c>
      <c r="V11" s="995">
        <f>-('Conta explotación'!X14)</f>
        <v>-1680</v>
      </c>
      <c r="W11" s="995">
        <f>-('Conta explotación'!Y14)</f>
        <v>-1680</v>
      </c>
      <c r="X11" s="995">
        <f>-('Conta explotación'!Z14)</f>
        <v>-1680</v>
      </c>
      <c r="Y11" s="995">
        <f>-('Conta explotación'!AA14)</f>
        <v>-1680</v>
      </c>
      <c r="Z11" s="995">
        <f>-('Conta explotación'!AB14)</f>
        <v>-1680</v>
      </c>
      <c r="AA11" s="995">
        <f>-('Conta explotación'!AC14)</f>
        <v>-1680</v>
      </c>
      <c r="AB11" s="995">
        <f>-('Conta explotación'!AD14)</f>
        <v>-1680</v>
      </c>
      <c r="AC11" s="985">
        <f t="shared" si="0"/>
        <v>-42000</v>
      </c>
    </row>
    <row r="12" spans="2:29" x14ac:dyDescent="0.35">
      <c r="B12" s="998" t="s">
        <v>1016</v>
      </c>
      <c r="C12" s="995"/>
      <c r="D12" s="995">
        <f>-'Conta explotación'!F48</f>
        <v>0</v>
      </c>
      <c r="E12" s="995">
        <f>-'Conta explotación'!G48</f>
        <v>0</v>
      </c>
      <c r="F12" s="995">
        <f>-'Conta explotación'!H48</f>
        <v>0</v>
      </c>
      <c r="G12" s="995">
        <f>-'Conta explotación'!I48</f>
        <v>0</v>
      </c>
      <c r="H12" s="995">
        <f>-'Conta explotación'!J48</f>
        <v>0</v>
      </c>
      <c r="I12" s="995">
        <f>-'Conta explotación'!K48</f>
        <v>0</v>
      </c>
      <c r="J12" s="995">
        <f>-'Conta explotación'!L48</f>
        <v>0</v>
      </c>
      <c r="K12" s="995">
        <f>-'Conta explotación'!M48</f>
        <v>0</v>
      </c>
      <c r="L12" s="995">
        <f>-'Conta explotación'!N48</f>
        <v>0</v>
      </c>
      <c r="M12" s="995">
        <f>-'Conta explotación'!O48</f>
        <v>0</v>
      </c>
      <c r="N12" s="995">
        <f>-'Conta explotación'!P48</f>
        <v>0</v>
      </c>
      <c r="O12" s="995">
        <f>-'Conta explotación'!Q48</f>
        <v>0</v>
      </c>
      <c r="P12" s="995">
        <f>-'Conta explotación'!R48</f>
        <v>0</v>
      </c>
      <c r="Q12" s="995">
        <f>-'Conta explotación'!S48</f>
        <v>0</v>
      </c>
      <c r="R12" s="995">
        <f>-'Conta explotación'!T48</f>
        <v>0</v>
      </c>
      <c r="S12" s="995">
        <f>-'Conta explotación'!U48</f>
        <v>0</v>
      </c>
      <c r="T12" s="995">
        <f>-'Conta explotación'!V48</f>
        <v>0</v>
      </c>
      <c r="U12" s="995">
        <f>-'Conta explotación'!W48</f>
        <v>0</v>
      </c>
      <c r="V12" s="995">
        <f>-'Conta explotación'!X48</f>
        <v>0</v>
      </c>
      <c r="W12" s="995">
        <f>-'Conta explotación'!Y48</f>
        <v>0</v>
      </c>
      <c r="X12" s="995">
        <f>-'Conta explotación'!Z48</f>
        <v>0</v>
      </c>
      <c r="Y12" s="995">
        <f>-'Conta explotación'!AA48</f>
        <v>0</v>
      </c>
      <c r="Z12" s="995">
        <f>-'Conta explotación'!AB48</f>
        <v>0</v>
      </c>
      <c r="AA12" s="995">
        <f>-'Conta explotación'!AC48</f>
        <v>0</v>
      </c>
      <c r="AB12" s="995">
        <f>-'Conta explotación'!AD48</f>
        <v>0</v>
      </c>
      <c r="AC12" s="985">
        <f t="shared" si="0"/>
        <v>0</v>
      </c>
    </row>
    <row r="13" spans="2:29" x14ac:dyDescent="0.35">
      <c r="B13" s="997" t="s">
        <v>1015</v>
      </c>
      <c r="C13" s="995"/>
      <c r="D13" s="995">
        <f>'Conta explotación'!F49</f>
        <v>0</v>
      </c>
      <c r="E13" s="995">
        <f>'Conta explotación'!G49</f>
        <v>0</v>
      </c>
      <c r="F13" s="995">
        <f>'Conta explotación'!H49</f>
        <v>0</v>
      </c>
      <c r="G13" s="995">
        <f>'Conta explotación'!I49</f>
        <v>0</v>
      </c>
      <c r="H13" s="995">
        <f>'Conta explotación'!J49</f>
        <v>0</v>
      </c>
      <c r="I13" s="995">
        <f>'Conta explotación'!K49</f>
        <v>0</v>
      </c>
      <c r="J13" s="995">
        <f>'Conta explotación'!L49</f>
        <v>0</v>
      </c>
      <c r="K13" s="995">
        <f>'Conta explotación'!M49</f>
        <v>0</v>
      </c>
      <c r="L13" s="995">
        <f>'Conta explotación'!N49</f>
        <v>0</v>
      </c>
      <c r="M13" s="995">
        <f>'Conta explotación'!O49</f>
        <v>0</v>
      </c>
      <c r="N13" s="995">
        <f>'Conta explotación'!P49</f>
        <v>0</v>
      </c>
      <c r="O13" s="995">
        <f>'Conta explotación'!Q49</f>
        <v>0</v>
      </c>
      <c r="P13" s="995">
        <f>'Conta explotación'!R49</f>
        <v>0</v>
      </c>
      <c r="Q13" s="995">
        <f>'Conta explotación'!S49</f>
        <v>0</v>
      </c>
      <c r="R13" s="995">
        <f>'Conta explotación'!T49</f>
        <v>0</v>
      </c>
      <c r="S13" s="995">
        <f>'Conta explotación'!U49</f>
        <v>0</v>
      </c>
      <c r="T13" s="995">
        <f>'Conta explotación'!V49</f>
        <v>0</v>
      </c>
      <c r="U13" s="995">
        <f>'Conta explotación'!W49</f>
        <v>0</v>
      </c>
      <c r="V13" s="995">
        <f>'Conta explotación'!X49</f>
        <v>0</v>
      </c>
      <c r="W13" s="995">
        <f>'Conta explotación'!Y49</f>
        <v>0</v>
      </c>
      <c r="X13" s="995">
        <f>'Conta explotación'!Z49</f>
        <v>0</v>
      </c>
      <c r="Y13" s="995">
        <f>'Conta explotación'!AA49</f>
        <v>0</v>
      </c>
      <c r="Z13" s="995">
        <f>'Conta explotación'!AB49</f>
        <v>0</v>
      </c>
      <c r="AA13" s="995">
        <f>'Conta explotación'!AC49</f>
        <v>0</v>
      </c>
      <c r="AB13" s="995">
        <f>'Conta explotación'!AD49</f>
        <v>0</v>
      </c>
      <c r="AC13" s="985">
        <f t="shared" si="0"/>
        <v>0</v>
      </c>
    </row>
    <row r="14" spans="2:29" ht="29.5" thickBot="1" x14ac:dyDescent="0.4">
      <c r="B14" s="996" t="s">
        <v>1014</v>
      </c>
      <c r="C14" s="995"/>
      <c r="D14" s="995"/>
      <c r="E14" s="995"/>
      <c r="F14" s="995"/>
      <c r="G14" s="995"/>
      <c r="H14" s="995"/>
      <c r="I14" s="995"/>
      <c r="J14" s="995"/>
      <c r="K14" s="995"/>
      <c r="L14" s="995"/>
      <c r="M14" s="995"/>
      <c r="N14" s="995"/>
      <c r="O14" s="995"/>
      <c r="P14" s="995"/>
      <c r="Q14" s="995"/>
      <c r="R14" s="995"/>
      <c r="S14" s="995"/>
      <c r="T14" s="995"/>
      <c r="U14" s="995"/>
      <c r="V14" s="995"/>
      <c r="W14" s="995"/>
      <c r="X14" s="995"/>
      <c r="Y14" s="995"/>
      <c r="Z14" s="995"/>
      <c r="AA14" s="995"/>
      <c r="AB14" s="994"/>
      <c r="AC14" s="993">
        <f t="shared" si="0"/>
        <v>0</v>
      </c>
    </row>
    <row r="15" spans="2:29" ht="30" thickTop="1" thickBot="1" x14ac:dyDescent="0.4">
      <c r="B15" s="992" t="s">
        <v>1013</v>
      </c>
      <c r="C15" s="991">
        <f t="shared" ref="C15:AB15" si="1">SUM(C7:C14)</f>
        <v>0</v>
      </c>
      <c r="D15" s="991">
        <f t="shared" si="1"/>
        <v>5878.2058333333334</v>
      </c>
      <c r="E15" s="991">
        <f t="shared" si="1"/>
        <v>5785.7964999999995</v>
      </c>
      <c r="F15" s="991">
        <f t="shared" si="1"/>
        <v>6010.3224056666659</v>
      </c>
      <c r="G15" s="991">
        <f t="shared" si="1"/>
        <v>6231.3719469089992</v>
      </c>
      <c r="H15" s="991">
        <f t="shared" si="1"/>
        <v>6459.2743294231768</v>
      </c>
      <c r="I15" s="991">
        <f t="shared" si="1"/>
        <v>6694.2420010644146</v>
      </c>
      <c r="J15" s="991">
        <f t="shared" si="1"/>
        <v>6936.4939958842624</v>
      </c>
      <c r="K15" s="991">
        <f t="shared" si="1"/>
        <v>7186.2561383127031</v>
      </c>
      <c r="L15" s="991">
        <f t="shared" si="1"/>
        <v>7443.76125367022</v>
      </c>
      <c r="M15" s="991">
        <f t="shared" si="1"/>
        <v>7709.2493852060561</v>
      </c>
      <c r="N15" s="991">
        <f t="shared" si="1"/>
        <v>7982.9680178650051</v>
      </c>
      <c r="O15" s="991">
        <f t="shared" si="1"/>
        <v>8265.1723089913485</v>
      </c>
      <c r="P15" s="991">
        <f t="shared" si="1"/>
        <v>8556.1253261849251</v>
      </c>
      <c r="Q15" s="991">
        <f t="shared" si="1"/>
        <v>8856.0982925311782</v>
      </c>
      <c r="R15" s="991">
        <f t="shared" si="1"/>
        <v>9165.3708394336754</v>
      </c>
      <c r="S15" s="991">
        <f t="shared" si="1"/>
        <v>9484.2312672848311</v>
      </c>
      <c r="T15" s="991">
        <f t="shared" si="1"/>
        <v>9812.9768142178946</v>
      </c>
      <c r="U15" s="991">
        <f t="shared" si="1"/>
        <v>10151.913933190595</v>
      </c>
      <c r="V15" s="991">
        <f t="shared" si="1"/>
        <v>10501.358577658872</v>
      </c>
      <c r="W15" s="991">
        <f t="shared" si="1"/>
        <v>10861.636496106925</v>
      </c>
      <c r="X15" s="991">
        <f t="shared" si="1"/>
        <v>11233.083535708163</v>
      </c>
      <c r="Y15" s="991">
        <f t="shared" si="1"/>
        <v>11616.045955400146</v>
      </c>
      <c r="Z15" s="991">
        <f t="shared" si="1"/>
        <v>12010.8807486653</v>
      </c>
      <c r="AA15" s="991">
        <f t="shared" si="1"/>
        <v>12417.955976318404</v>
      </c>
      <c r="AB15" s="991">
        <f t="shared" si="1"/>
        <v>12221.999784894886</v>
      </c>
      <c r="AC15" s="990">
        <f t="shared" si="0"/>
        <v>219472.79166392199</v>
      </c>
    </row>
    <row r="16" spans="2:29" ht="15.5" thickTop="1" thickBot="1" x14ac:dyDescent="0.4">
      <c r="B16" s="989" t="s">
        <v>1012</v>
      </c>
      <c r="C16" s="974"/>
      <c r="D16" s="974"/>
      <c r="E16" s="974"/>
      <c r="F16" s="974"/>
      <c r="G16" s="974"/>
      <c r="H16" s="974"/>
      <c r="I16" s="974"/>
      <c r="J16" s="974"/>
      <c r="K16" s="974"/>
      <c r="L16" s="974"/>
      <c r="M16" s="974"/>
      <c r="N16" s="974"/>
      <c r="O16" s="974"/>
      <c r="P16" s="974"/>
      <c r="Q16" s="974"/>
      <c r="R16" s="974"/>
      <c r="S16" s="974"/>
      <c r="T16" s="974"/>
      <c r="U16" s="974"/>
      <c r="V16" s="974"/>
      <c r="W16" s="974"/>
      <c r="X16" s="974"/>
      <c r="Y16" s="974"/>
      <c r="Z16" s="974"/>
      <c r="AA16" s="974"/>
      <c r="AB16" s="974"/>
      <c r="AC16" s="980"/>
    </row>
    <row r="17" spans="2:29" x14ac:dyDescent="0.35">
      <c r="B17" s="988" t="s">
        <v>1011</v>
      </c>
      <c r="C17" s="974">
        <f>-('Hipóteses xerais (2)'!$C$21)</f>
        <v>-70150</v>
      </c>
      <c r="D17" s="974"/>
      <c r="E17" s="974"/>
      <c r="F17" s="974"/>
      <c r="G17" s="974"/>
      <c r="H17" s="974"/>
      <c r="I17" s="974"/>
      <c r="J17" s="974"/>
      <c r="K17" s="974"/>
      <c r="L17" s="974"/>
      <c r="N17" s="974"/>
      <c r="O17" s="974"/>
      <c r="P17" s="974"/>
      <c r="Q17" s="974"/>
      <c r="R17" s="974">
        <f>-'Hipóteses xerais (2)'!$C$76</f>
        <v>-14000</v>
      </c>
      <c r="S17" s="974"/>
      <c r="T17" s="974"/>
      <c r="U17" s="974"/>
      <c r="V17" s="974"/>
      <c r="W17" s="974"/>
      <c r="X17" s="974"/>
      <c r="Y17" s="974"/>
      <c r="Z17" s="974"/>
      <c r="AA17" s="974"/>
      <c r="AB17" s="974"/>
      <c r="AC17" s="987">
        <f>SUM(C17:AB17)</f>
        <v>-84150</v>
      </c>
    </row>
    <row r="18" spans="2:29" ht="15" thickBot="1" x14ac:dyDescent="0.4">
      <c r="B18" s="986" t="s">
        <v>1010</v>
      </c>
      <c r="C18" s="974"/>
      <c r="D18" s="974"/>
      <c r="E18" s="974"/>
      <c r="F18" s="974"/>
      <c r="G18" s="974"/>
      <c r="H18" s="974"/>
      <c r="I18" s="974"/>
      <c r="J18" s="974"/>
      <c r="K18" s="974"/>
      <c r="L18" s="974"/>
      <c r="M18" s="974"/>
      <c r="N18" s="974"/>
      <c r="O18" s="974"/>
      <c r="P18" s="974"/>
      <c r="Q18" s="974"/>
      <c r="R18" s="974"/>
      <c r="S18" s="974"/>
      <c r="T18" s="974"/>
      <c r="U18" s="974"/>
      <c r="V18" s="974"/>
      <c r="W18" s="974"/>
      <c r="X18" s="974"/>
      <c r="Y18" s="974"/>
      <c r="Z18" s="974"/>
      <c r="AA18" s="974"/>
      <c r="AB18" s="974"/>
      <c r="AC18" s="985">
        <f>SUM(C18:AB18)</f>
        <v>0</v>
      </c>
    </row>
    <row r="19" spans="2:29" ht="15.5" thickTop="1" thickBot="1" x14ac:dyDescent="0.4">
      <c r="B19" s="984" t="s">
        <v>1009</v>
      </c>
      <c r="C19" s="983">
        <f t="shared" ref="C19:AB19" si="2">SUM(C17:C18)</f>
        <v>-70150</v>
      </c>
      <c r="D19" s="983">
        <f t="shared" si="2"/>
        <v>0</v>
      </c>
      <c r="E19" s="983">
        <f t="shared" si="2"/>
        <v>0</v>
      </c>
      <c r="F19" s="983">
        <f t="shared" si="2"/>
        <v>0</v>
      </c>
      <c r="G19" s="983">
        <f t="shared" si="2"/>
        <v>0</v>
      </c>
      <c r="H19" s="983">
        <f t="shared" si="2"/>
        <v>0</v>
      </c>
      <c r="I19" s="983">
        <f t="shared" si="2"/>
        <v>0</v>
      </c>
      <c r="J19" s="983">
        <f t="shared" si="2"/>
        <v>0</v>
      </c>
      <c r="K19" s="983">
        <f t="shared" si="2"/>
        <v>0</v>
      </c>
      <c r="L19" s="983">
        <f t="shared" si="2"/>
        <v>0</v>
      </c>
      <c r="M19" s="983">
        <f t="shared" si="2"/>
        <v>0</v>
      </c>
      <c r="N19" s="983">
        <f t="shared" si="2"/>
        <v>0</v>
      </c>
      <c r="O19" s="983">
        <f t="shared" si="2"/>
        <v>0</v>
      </c>
      <c r="P19" s="983">
        <f t="shared" si="2"/>
        <v>0</v>
      </c>
      <c r="Q19" s="983">
        <f t="shared" si="2"/>
        <v>0</v>
      </c>
      <c r="R19" s="983">
        <f t="shared" si="2"/>
        <v>-14000</v>
      </c>
      <c r="S19" s="983">
        <f t="shared" si="2"/>
        <v>0</v>
      </c>
      <c r="T19" s="983">
        <f t="shared" si="2"/>
        <v>0</v>
      </c>
      <c r="U19" s="983">
        <f t="shared" si="2"/>
        <v>0</v>
      </c>
      <c r="V19" s="983">
        <f t="shared" si="2"/>
        <v>0</v>
      </c>
      <c r="W19" s="983">
        <f t="shared" si="2"/>
        <v>0</v>
      </c>
      <c r="X19" s="983">
        <f t="shared" si="2"/>
        <v>0</v>
      </c>
      <c r="Y19" s="983">
        <f t="shared" si="2"/>
        <v>0</v>
      </c>
      <c r="Z19" s="983">
        <f t="shared" si="2"/>
        <v>0</v>
      </c>
      <c r="AA19" s="983">
        <f t="shared" si="2"/>
        <v>0</v>
      </c>
      <c r="AB19" s="983">
        <f t="shared" si="2"/>
        <v>0</v>
      </c>
      <c r="AC19" s="982">
        <f>SUM(C19:AB19)</f>
        <v>-84150</v>
      </c>
    </row>
    <row r="20" spans="2:29" ht="30" thickTop="1" thickBot="1" x14ac:dyDescent="0.4">
      <c r="B20" s="981" t="s">
        <v>1008</v>
      </c>
      <c r="C20" s="974"/>
      <c r="D20" s="974"/>
      <c r="E20" s="974"/>
      <c r="F20" s="974"/>
      <c r="G20" s="974"/>
      <c r="H20" s="974"/>
      <c r="I20" s="974"/>
      <c r="J20" s="974"/>
      <c r="K20" s="974"/>
      <c r="L20" s="974"/>
      <c r="M20" s="974"/>
      <c r="N20" s="974"/>
      <c r="O20" s="974"/>
      <c r="P20" s="974"/>
      <c r="Q20" s="974"/>
      <c r="R20" s="974"/>
      <c r="S20" s="974"/>
      <c r="T20" s="974"/>
      <c r="U20" s="974"/>
      <c r="V20" s="974"/>
      <c r="W20" s="974"/>
      <c r="X20" s="974"/>
      <c r="Y20" s="974"/>
      <c r="Z20" s="974"/>
      <c r="AA20" s="974"/>
      <c r="AB20" s="974"/>
      <c r="AC20" s="980"/>
    </row>
    <row r="21" spans="2:29" ht="29" x14ac:dyDescent="0.35">
      <c r="B21" s="979" t="s">
        <v>1007</v>
      </c>
      <c r="C21" s="974">
        <f>'Hipóteses xerais (2)'!$F$35</f>
        <v>70150</v>
      </c>
      <c r="D21" s="974"/>
      <c r="E21" s="974"/>
      <c r="F21" s="974"/>
      <c r="G21" s="974"/>
      <c r="H21" s="974"/>
      <c r="I21" s="974"/>
      <c r="J21" s="974"/>
      <c r="K21" s="974"/>
      <c r="L21" s="974"/>
      <c r="M21" s="974"/>
      <c r="N21" s="974"/>
      <c r="O21" s="974"/>
      <c r="P21" s="974"/>
      <c r="Q21" s="974"/>
      <c r="R21" s="974"/>
      <c r="S21" s="974"/>
      <c r="T21" s="974"/>
      <c r="U21" s="974"/>
      <c r="V21" s="974"/>
      <c r="W21" s="974"/>
      <c r="X21" s="974"/>
      <c r="Y21" s="974"/>
      <c r="Z21" s="974"/>
      <c r="AA21" s="974"/>
      <c r="AB21" s="974"/>
      <c r="AC21" s="976">
        <f t="shared" ref="AC21:AC30" si="3">SUM(C21:AB21)</f>
        <v>70150</v>
      </c>
    </row>
    <row r="22" spans="2:29" ht="29" x14ac:dyDescent="0.35">
      <c r="B22" s="979" t="s">
        <v>1006</v>
      </c>
      <c r="C22" s="974"/>
      <c r="D22" s="974"/>
      <c r="E22" s="974"/>
      <c r="F22" s="974"/>
      <c r="G22" s="974"/>
      <c r="H22" s="974"/>
      <c r="I22" s="974"/>
      <c r="J22" s="974"/>
      <c r="K22" s="974"/>
      <c r="L22" s="974"/>
      <c r="M22" s="974"/>
      <c r="N22" s="974"/>
      <c r="O22" s="974"/>
      <c r="P22" s="974"/>
      <c r="Q22" s="974"/>
      <c r="R22" s="974"/>
      <c r="S22" s="974"/>
      <c r="T22" s="974"/>
      <c r="U22" s="974"/>
      <c r="V22" s="974"/>
      <c r="W22" s="974"/>
      <c r="X22" s="974"/>
      <c r="Y22" s="974"/>
      <c r="Z22" s="974"/>
      <c r="AA22" s="974"/>
      <c r="AB22" s="974"/>
      <c r="AC22" s="976">
        <f t="shared" si="3"/>
        <v>0</v>
      </c>
    </row>
    <row r="23" spans="2:29" x14ac:dyDescent="0.35">
      <c r="B23" s="979" t="s">
        <v>1005</v>
      </c>
      <c r="C23" s="974"/>
      <c r="D23" s="974">
        <f>'Hipóteses xerais (2)'!$C$62</f>
        <v>42000</v>
      </c>
      <c r="E23" s="974"/>
      <c r="F23" s="974"/>
      <c r="G23" s="974"/>
      <c r="H23" s="974"/>
      <c r="I23" s="974"/>
      <c r="J23" s="974"/>
      <c r="K23" s="974"/>
      <c r="L23" s="974"/>
      <c r="M23" s="974"/>
      <c r="N23" s="974"/>
      <c r="O23" s="974"/>
      <c r="P23" s="974"/>
      <c r="Q23" s="974"/>
      <c r="R23" s="974"/>
      <c r="S23" s="974"/>
      <c r="T23" s="974"/>
      <c r="U23" s="974"/>
      <c r="V23" s="974"/>
      <c r="W23" s="974"/>
      <c r="X23" s="974"/>
      <c r="Y23" s="974"/>
      <c r="Z23" s="974"/>
      <c r="AA23" s="974"/>
      <c r="AB23" s="974"/>
      <c r="AC23" s="976">
        <f t="shared" si="3"/>
        <v>42000</v>
      </c>
    </row>
    <row r="24" spans="2:29" x14ac:dyDescent="0.35">
      <c r="B24" s="979" t="s">
        <v>1004</v>
      </c>
      <c r="C24" s="974">
        <f>'Hipóteses xerais (2)'!$F$12</f>
        <v>0</v>
      </c>
      <c r="D24" s="974"/>
      <c r="E24" s="974"/>
      <c r="F24" s="974"/>
      <c r="G24" s="974"/>
      <c r="H24" s="974"/>
      <c r="I24" s="974"/>
      <c r="J24" s="974"/>
      <c r="K24" s="974"/>
      <c r="L24" s="974"/>
      <c r="M24" s="974"/>
      <c r="N24" s="974"/>
      <c r="O24" s="974"/>
      <c r="P24" s="974"/>
      <c r="Q24" s="974"/>
      <c r="R24" s="974"/>
      <c r="S24" s="974"/>
      <c r="T24" s="974"/>
      <c r="U24" s="974"/>
      <c r="V24" s="974"/>
      <c r="W24" s="974"/>
      <c r="X24" s="974"/>
      <c r="Y24" s="974"/>
      <c r="Z24" s="974"/>
      <c r="AA24" s="974"/>
      <c r="AB24" s="974"/>
      <c r="AC24" s="976">
        <f t="shared" si="3"/>
        <v>0</v>
      </c>
    </row>
    <row r="25" spans="2:29" x14ac:dyDescent="0.35">
      <c r="B25" s="978" t="s">
        <v>1003</v>
      </c>
      <c r="C25" s="150"/>
      <c r="D25" s="12">
        <f>-INDEX('x Financiamento'!$D$12:$D$26,'Fluxo de caixa'!D4)</f>
        <v>0</v>
      </c>
      <c r="E25" s="12">
        <f>-INDEX('x Financiamento'!$D$12:$D$26,'Fluxo de caixa'!E4)</f>
        <v>0</v>
      </c>
      <c r="F25" s="12">
        <f>-INDEX('x Financiamento'!$D$12:$D$26,'Fluxo de caixa'!F4)</f>
        <v>0</v>
      </c>
      <c r="G25" s="12">
        <f>-INDEX('x Financiamento'!$D$12:$D$26,'Fluxo de caixa'!G4)</f>
        <v>0</v>
      </c>
      <c r="H25" s="12">
        <f>-INDEX('x Financiamento'!$D$12:$D$26,'Fluxo de caixa'!H4)</f>
        <v>0</v>
      </c>
      <c r="I25" s="12">
        <f>-INDEX('x Financiamento'!$D$12:$D$26,'Fluxo de caixa'!I4)</f>
        <v>0</v>
      </c>
      <c r="J25" s="12">
        <f>-INDEX('x Financiamento'!$D$12:$D$26,'Fluxo de caixa'!J4)</f>
        <v>0</v>
      </c>
      <c r="K25" s="12">
        <f>-INDEX('x Financiamento'!$D$12:$D$26,'Fluxo de caixa'!K4)</f>
        <v>0</v>
      </c>
      <c r="L25" s="12">
        <f>-INDEX('x Financiamento'!$D$12:$D$26,'Fluxo de caixa'!L4)</f>
        <v>0</v>
      </c>
      <c r="M25" s="12">
        <f>-INDEX('x Financiamento'!$D$12:$D$26,'Fluxo de caixa'!M4)</f>
        <v>0</v>
      </c>
      <c r="N25" s="12">
        <f>-INDEX('x Financiamento'!$D$12:$D$26,'Fluxo de caixa'!N4)</f>
        <v>0</v>
      </c>
      <c r="O25" s="12">
        <f>-INDEX('x Financiamento'!$D$12:$D$26,'Fluxo de caixa'!O4)</f>
        <v>0</v>
      </c>
      <c r="P25" s="12">
        <f>-INDEX('x Financiamento'!$D$12:$D$26,'Fluxo de caixa'!P4)</f>
        <v>0</v>
      </c>
      <c r="Q25" s="12">
        <f>-INDEX('x Financiamento'!$D$12:$D$26,'Fluxo de caixa'!Q4)</f>
        <v>0</v>
      </c>
      <c r="R25" s="12">
        <f>-INDEX('x Financiamento'!$D$12:$D$26,'Fluxo de caixa'!R4)</f>
        <v>0</v>
      </c>
      <c r="S25" s="150">
        <v>0</v>
      </c>
      <c r="T25" s="150">
        <v>0</v>
      </c>
      <c r="U25" s="150">
        <v>0</v>
      </c>
      <c r="V25" s="150">
        <v>0</v>
      </c>
      <c r="W25" s="150">
        <v>0</v>
      </c>
      <c r="X25" s="150">
        <v>0</v>
      </c>
      <c r="Y25" s="150">
        <v>0</v>
      </c>
      <c r="Z25" s="150">
        <v>0</v>
      </c>
      <c r="AA25" s="150">
        <v>0</v>
      </c>
      <c r="AB25" s="150">
        <v>0</v>
      </c>
      <c r="AC25" s="715">
        <f t="shared" si="3"/>
        <v>0</v>
      </c>
    </row>
    <row r="26" spans="2:29" x14ac:dyDescent="0.35">
      <c r="B26" s="975" t="s">
        <v>1002</v>
      </c>
      <c r="C26" s="974"/>
      <c r="D26" s="977">
        <f>-'Conta explotación'!F49</f>
        <v>0</v>
      </c>
      <c r="E26" s="977">
        <f>-'Conta explotación'!G49</f>
        <v>0</v>
      </c>
      <c r="F26" s="977">
        <f>-'Conta explotación'!H49</f>
        <v>0</v>
      </c>
      <c r="G26" s="977">
        <f>-'Conta explotación'!I49</f>
        <v>0</v>
      </c>
      <c r="H26" s="977">
        <f>-'Conta explotación'!J49</f>
        <v>0</v>
      </c>
      <c r="I26" s="977">
        <f>-'Conta explotación'!K49</f>
        <v>0</v>
      </c>
      <c r="J26" s="977">
        <f>-'Conta explotación'!L49</f>
        <v>0</v>
      </c>
      <c r="K26" s="977">
        <f>-'Conta explotación'!M49</f>
        <v>0</v>
      </c>
      <c r="L26" s="977">
        <f>-'Conta explotación'!N49</f>
        <v>0</v>
      </c>
      <c r="M26" s="977">
        <f>-'Conta explotación'!O49</f>
        <v>0</v>
      </c>
      <c r="N26" s="977">
        <f>-'Conta explotación'!P49</f>
        <v>0</v>
      </c>
      <c r="O26" s="977">
        <f>-'Conta explotación'!Q49</f>
        <v>0</v>
      </c>
      <c r="P26" s="977">
        <f>-'Conta explotación'!R49</f>
        <v>0</v>
      </c>
      <c r="Q26" s="977">
        <f>-'Conta explotación'!S49</f>
        <v>0</v>
      </c>
      <c r="R26" s="977">
        <f>-'Conta explotación'!T49</f>
        <v>0</v>
      </c>
      <c r="S26" s="977">
        <f>-'Conta explotación'!U49</f>
        <v>0</v>
      </c>
      <c r="T26" s="977">
        <f>-'Conta explotación'!V49</f>
        <v>0</v>
      </c>
      <c r="U26" s="977">
        <f>-'Conta explotación'!W49</f>
        <v>0</v>
      </c>
      <c r="V26" s="977">
        <f>-'Conta explotación'!X49</f>
        <v>0</v>
      </c>
      <c r="W26" s="977">
        <f>-'Conta explotación'!Y49</f>
        <v>0</v>
      </c>
      <c r="X26" s="977">
        <f>-'Conta explotación'!Z49</f>
        <v>0</v>
      </c>
      <c r="Y26" s="977">
        <f>-'Conta explotación'!AA49</f>
        <v>0</v>
      </c>
      <c r="Z26" s="977">
        <f>-'Conta explotación'!AB49</f>
        <v>0</v>
      </c>
      <c r="AA26" s="977">
        <f>-'Conta explotación'!AC49</f>
        <v>0</v>
      </c>
      <c r="AB26" s="977">
        <f>-'Conta explotación'!AD49</f>
        <v>0</v>
      </c>
      <c r="AC26" s="976">
        <f t="shared" si="3"/>
        <v>0</v>
      </c>
    </row>
    <row r="27" spans="2:29" ht="29.5" thickBot="1" x14ac:dyDescent="0.4">
      <c r="B27" s="975" t="s">
        <v>1001</v>
      </c>
      <c r="C27" s="974"/>
      <c r="D27" s="974">
        <f>IF($E$40="Si",(-('Conta explotación'!F6+'Conta explotación'!F7)),0)</f>
        <v>-6699</v>
      </c>
      <c r="E27" s="974">
        <f>IF($E$40="Si",(-('Conta explotación'!G6+'Conta explotación'!G7)),0)</f>
        <v>-6906.6689999999999</v>
      </c>
      <c r="F27" s="974">
        <f>IF($E$40="Si",(-('Conta explotación'!H6+'Conta explotación'!H7)),0)</f>
        <v>-7120.7757389999988</v>
      </c>
      <c r="G27" s="974">
        <f>IF($E$40="Si",(-('Conta explotación'!I6+'Conta explotación'!I7)),0)</f>
        <v>-7341.519786908998</v>
      </c>
      <c r="H27" s="974">
        <f>IF($E$40="Si",(-('Conta explotación'!J6+'Conta explotación'!J7)),0)</f>
        <v>-7569.1069003031753</v>
      </c>
      <c r="I27" s="974">
        <f>IF($E$40="Si",(-('Conta explotación'!K6+'Conta explotación'!K7)),0)</f>
        <v>-7803.7492142125739</v>
      </c>
      <c r="J27" s="974">
        <f>IF($E$40="Si",(-('Conta explotación'!L6+'Conta explotación'!L7)),0)</f>
        <v>-8045.6654398531628</v>
      </c>
      <c r="K27" s="974">
        <f>IF($E$40="Si",(-('Conta explotación'!M6+'Conta explotación'!M7)),0)</f>
        <v>-8295.0810684886092</v>
      </c>
      <c r="L27" s="974">
        <f>IF($E$40="Si",(-('Conta explotación'!N6+'Conta explotación'!N7)),0)</f>
        <v>-8552.2285816117565</v>
      </c>
      <c r="M27" s="974">
        <f>IF($E$40="Si",(-('Conta explotación'!O6+'Conta explotación'!O7)),0)</f>
        <v>-8817.3476676417195</v>
      </c>
      <c r="N27" s="974">
        <f>IF($E$40="Si",(-('Conta explotación'!P6+'Conta explotación'!P7)),0)</f>
        <v>-9090.6854453386131</v>
      </c>
      <c r="O27" s="974">
        <f>IF($E$40="Si",(-('Conta explotación'!Q6+'Conta explotación'!Q7)),0)</f>
        <v>-9372.4966941441089</v>
      </c>
      <c r="P27" s="974">
        <f>IF($E$40="Si",(-('Conta explotación'!R6+'Conta explotación'!R7)),0)</f>
        <v>-9663.0440916625757</v>
      </c>
      <c r="Q27" s="974">
        <f>IF($E$40="Si",(-('Conta explotación'!S6+'Conta explotación'!S7)),0)</f>
        <v>-9962.5984585041151</v>
      </c>
      <c r="R27" s="974">
        <f>IF($E$40="Si",(-('Conta explotación'!T6+'Conta explotación'!T7)),0)</f>
        <v>-10271.439010717741</v>
      </c>
      <c r="S27" s="974">
        <f>IF($E$40="Si",(-('Conta explotación'!U6+'Conta explotación'!U7)),0)</f>
        <v>-10589.853620049989</v>
      </c>
      <c r="T27" s="974">
        <f>IF($E$40="Si",(-('Conta explotación'!V6+'Conta explotación'!V7)),0)</f>
        <v>-10918.139082271538</v>
      </c>
      <c r="U27" s="974">
        <f>IF($E$40="Si",(-('Conta explotación'!W6+'Conta explotación'!W7)),0)</f>
        <v>-11256.601393821955</v>
      </c>
      <c r="V27" s="974">
        <f>IF($E$40="Si",(-('Conta explotación'!X6+'Conta explotación'!X7)),0)</f>
        <v>-11605.556037030434</v>
      </c>
      <c r="W27" s="974">
        <f>IF($E$40="Si",(-('Conta explotación'!Y6+'Conta explotación'!Y7)),0)</f>
        <v>-11965.328274178377</v>
      </c>
      <c r="X27" s="974">
        <f>IF($E$40="Si",(-('Conta explotación'!Z6+'Conta explotación'!Z7)),0)</f>
        <v>-12336.253450677905</v>
      </c>
      <c r="Y27" s="974">
        <f>IF($E$40="Si",(-('Conta explotación'!AA6+'Conta explotación'!AA7)),0)</f>
        <v>-12718.677307648919</v>
      </c>
      <c r="Z27" s="974">
        <f>IF($E$40="Si",(-('Conta explotación'!AB6+'Conta explotación'!AB7)),0)</f>
        <v>-13112.956304186035</v>
      </c>
      <c r="AA27" s="974">
        <f>IF($E$40="Si",(-('Conta explotación'!AC6+'Conta explotación'!AC7)),0)</f>
        <v>-13519.4579496158</v>
      </c>
      <c r="AB27" s="974">
        <f>IF($E$40="Si",(-('Conta explotación'!AD6+'Conta explotación'!AD7)),0)</f>
        <v>-13938.561146053889</v>
      </c>
      <c r="AC27" s="973">
        <f t="shared" si="3"/>
        <v>-247472.79166392199</v>
      </c>
    </row>
    <row r="28" spans="2:29" ht="30" thickTop="1" thickBot="1" x14ac:dyDescent="0.4">
      <c r="B28" s="972" t="s">
        <v>1000</v>
      </c>
      <c r="C28" s="971">
        <f t="shared" ref="C28:AB28" si="4">SUM(C21:C27)</f>
        <v>70150</v>
      </c>
      <c r="D28" s="970">
        <f t="shared" si="4"/>
        <v>35301</v>
      </c>
      <c r="E28" s="970">
        <f t="shared" si="4"/>
        <v>-6906.6689999999999</v>
      </c>
      <c r="F28" s="970">
        <f t="shared" si="4"/>
        <v>-7120.7757389999988</v>
      </c>
      <c r="G28" s="970">
        <f t="shared" si="4"/>
        <v>-7341.519786908998</v>
      </c>
      <c r="H28" s="970">
        <f t="shared" si="4"/>
        <v>-7569.1069003031753</v>
      </c>
      <c r="I28" s="970">
        <f t="shared" si="4"/>
        <v>-7803.7492142125739</v>
      </c>
      <c r="J28" s="970">
        <f t="shared" si="4"/>
        <v>-8045.6654398531628</v>
      </c>
      <c r="K28" s="970">
        <f t="shared" si="4"/>
        <v>-8295.0810684886092</v>
      </c>
      <c r="L28" s="970">
        <f t="shared" si="4"/>
        <v>-8552.2285816117565</v>
      </c>
      <c r="M28" s="970">
        <f t="shared" si="4"/>
        <v>-8817.3476676417195</v>
      </c>
      <c r="N28" s="970">
        <f t="shared" si="4"/>
        <v>-9090.6854453386131</v>
      </c>
      <c r="O28" s="970">
        <f t="shared" si="4"/>
        <v>-9372.4966941441089</v>
      </c>
      <c r="P28" s="970">
        <f t="shared" si="4"/>
        <v>-9663.0440916625757</v>
      </c>
      <c r="Q28" s="970">
        <f t="shared" si="4"/>
        <v>-9962.5984585041151</v>
      </c>
      <c r="R28" s="970">
        <f t="shared" si="4"/>
        <v>-10271.439010717741</v>
      </c>
      <c r="S28" s="970">
        <f t="shared" si="4"/>
        <v>-10589.853620049989</v>
      </c>
      <c r="T28" s="970">
        <f t="shared" si="4"/>
        <v>-10918.139082271538</v>
      </c>
      <c r="U28" s="970">
        <f t="shared" si="4"/>
        <v>-11256.601393821955</v>
      </c>
      <c r="V28" s="970">
        <f t="shared" si="4"/>
        <v>-11605.556037030434</v>
      </c>
      <c r="W28" s="970">
        <f t="shared" si="4"/>
        <v>-11965.328274178377</v>
      </c>
      <c r="X28" s="970">
        <f t="shared" si="4"/>
        <v>-12336.253450677905</v>
      </c>
      <c r="Y28" s="970">
        <f t="shared" si="4"/>
        <v>-12718.677307648919</v>
      </c>
      <c r="Z28" s="970">
        <f t="shared" si="4"/>
        <v>-13112.956304186035</v>
      </c>
      <c r="AA28" s="970">
        <f t="shared" si="4"/>
        <v>-13519.4579496158</v>
      </c>
      <c r="AB28" s="969">
        <f t="shared" si="4"/>
        <v>-13938.561146053889</v>
      </c>
      <c r="AC28" s="968">
        <f t="shared" si="3"/>
        <v>-135322.79166392199</v>
      </c>
    </row>
    <row r="29" spans="2:29" ht="15.5" thickTop="1" thickBot="1" x14ac:dyDescent="0.4">
      <c r="B29" s="967" t="s">
        <v>999</v>
      </c>
      <c r="C29" s="966">
        <f t="shared" ref="C29:AB29" si="5">C30+C28</f>
        <v>0</v>
      </c>
      <c r="D29" s="966">
        <f t="shared" si="5"/>
        <v>41179.205833333333</v>
      </c>
      <c r="E29" s="966">
        <f t="shared" si="5"/>
        <v>-1120.8725000000004</v>
      </c>
      <c r="F29" s="966">
        <f t="shared" si="5"/>
        <v>-1110.4533333333329</v>
      </c>
      <c r="G29" s="966">
        <f t="shared" si="5"/>
        <v>-1110.1478399999987</v>
      </c>
      <c r="H29" s="966">
        <f t="shared" si="5"/>
        <v>-1109.8325708799985</v>
      </c>
      <c r="I29" s="966">
        <f t="shared" si="5"/>
        <v>-1109.5072131481593</v>
      </c>
      <c r="J29" s="966">
        <f t="shared" si="5"/>
        <v>-1109.1714439689003</v>
      </c>
      <c r="K29" s="966">
        <f t="shared" si="5"/>
        <v>-1108.824930175906</v>
      </c>
      <c r="L29" s="966">
        <f t="shared" si="5"/>
        <v>-1108.4673279415365</v>
      </c>
      <c r="M29" s="966">
        <f t="shared" si="5"/>
        <v>-1108.0982824356634</v>
      </c>
      <c r="N29" s="966">
        <f t="shared" si="5"/>
        <v>-1107.717427473608</v>
      </c>
      <c r="O29" s="966">
        <f t="shared" si="5"/>
        <v>-1107.3243851527604</v>
      </c>
      <c r="P29" s="966">
        <f t="shared" si="5"/>
        <v>-1106.9187654776506</v>
      </c>
      <c r="Q29" s="966">
        <f t="shared" si="5"/>
        <v>-1106.5001659729369</v>
      </c>
      <c r="R29" s="966">
        <f t="shared" si="5"/>
        <v>-15106.068171284065</v>
      </c>
      <c r="S29" s="966">
        <f t="shared" si="5"/>
        <v>-1105.6223527651582</v>
      </c>
      <c r="T29" s="966">
        <f t="shared" si="5"/>
        <v>-1105.1622680536439</v>
      </c>
      <c r="U29" s="966">
        <f t="shared" si="5"/>
        <v>-1104.6874606313595</v>
      </c>
      <c r="V29" s="966">
        <f t="shared" si="5"/>
        <v>-1104.1974593715622</v>
      </c>
      <c r="W29" s="966">
        <f t="shared" si="5"/>
        <v>-1103.6917780714521</v>
      </c>
      <c r="X29" s="966">
        <f t="shared" si="5"/>
        <v>-1103.1699149697415</v>
      </c>
      <c r="Y29" s="966">
        <f t="shared" si="5"/>
        <v>-1102.6313522487726</v>
      </c>
      <c r="Z29" s="966">
        <f t="shared" si="5"/>
        <v>-1102.0755555207343</v>
      </c>
      <c r="AA29" s="966">
        <f t="shared" si="5"/>
        <v>-1101.501973297396</v>
      </c>
      <c r="AB29" s="965">
        <f t="shared" si="5"/>
        <v>-1716.5613611590034</v>
      </c>
      <c r="AC29" s="964">
        <f t="shared" si="3"/>
        <v>3.637978807091713E-12</v>
      </c>
    </row>
    <row r="30" spans="2:29" ht="15.5" thickTop="1" thickBot="1" x14ac:dyDescent="0.4">
      <c r="B30" s="534" t="s">
        <v>998</v>
      </c>
      <c r="C30" s="963">
        <f t="shared" ref="C30:AB30" si="6">C15+C19</f>
        <v>-70150</v>
      </c>
      <c r="D30" s="963">
        <f t="shared" si="6"/>
        <v>5878.2058333333334</v>
      </c>
      <c r="E30" s="963">
        <f t="shared" si="6"/>
        <v>5785.7964999999995</v>
      </c>
      <c r="F30" s="963">
        <f t="shared" si="6"/>
        <v>6010.3224056666659</v>
      </c>
      <c r="G30" s="963">
        <f t="shared" si="6"/>
        <v>6231.3719469089992</v>
      </c>
      <c r="H30" s="963">
        <f t="shared" si="6"/>
        <v>6459.2743294231768</v>
      </c>
      <c r="I30" s="963">
        <f t="shared" si="6"/>
        <v>6694.2420010644146</v>
      </c>
      <c r="J30" s="963">
        <f t="shared" si="6"/>
        <v>6936.4939958842624</v>
      </c>
      <c r="K30" s="963">
        <f t="shared" si="6"/>
        <v>7186.2561383127031</v>
      </c>
      <c r="L30" s="963">
        <f t="shared" si="6"/>
        <v>7443.76125367022</v>
      </c>
      <c r="M30" s="963">
        <f t="shared" si="6"/>
        <v>7709.2493852060561</v>
      </c>
      <c r="N30" s="963">
        <f t="shared" si="6"/>
        <v>7982.9680178650051</v>
      </c>
      <c r="O30" s="963">
        <f t="shared" si="6"/>
        <v>8265.1723089913485</v>
      </c>
      <c r="P30" s="963">
        <f t="shared" si="6"/>
        <v>8556.1253261849251</v>
      </c>
      <c r="Q30" s="963">
        <f t="shared" si="6"/>
        <v>8856.0982925311782</v>
      </c>
      <c r="R30" s="963">
        <f t="shared" si="6"/>
        <v>-4834.6291605663246</v>
      </c>
      <c r="S30" s="963">
        <f t="shared" si="6"/>
        <v>9484.2312672848311</v>
      </c>
      <c r="T30" s="963">
        <f t="shared" si="6"/>
        <v>9812.9768142178946</v>
      </c>
      <c r="U30" s="963">
        <f t="shared" si="6"/>
        <v>10151.913933190595</v>
      </c>
      <c r="V30" s="963">
        <f t="shared" si="6"/>
        <v>10501.358577658872</v>
      </c>
      <c r="W30" s="963">
        <f t="shared" si="6"/>
        <v>10861.636496106925</v>
      </c>
      <c r="X30" s="963">
        <f t="shared" si="6"/>
        <v>11233.083535708163</v>
      </c>
      <c r="Y30" s="963">
        <f t="shared" si="6"/>
        <v>11616.045955400146</v>
      </c>
      <c r="Z30" s="963">
        <f t="shared" si="6"/>
        <v>12010.8807486653</v>
      </c>
      <c r="AA30" s="963">
        <f t="shared" si="6"/>
        <v>12417.955976318404</v>
      </c>
      <c r="AB30" s="939">
        <f t="shared" si="6"/>
        <v>12221.999784894886</v>
      </c>
      <c r="AC30" s="688">
        <f t="shared" si="3"/>
        <v>135322.79166392199</v>
      </c>
    </row>
    <row r="31" spans="2:29" ht="15.5" thickTop="1" thickBot="1" x14ac:dyDescent="0.4">
      <c r="C31" s="150"/>
      <c r="D31" s="150"/>
      <c r="E31" s="150"/>
      <c r="F31" s="150"/>
      <c r="G31" s="150"/>
      <c r="H31" s="150"/>
      <c r="I31" s="150"/>
      <c r="J31" s="150"/>
      <c r="K31" s="150"/>
      <c r="L31" s="150"/>
      <c r="M31" s="150"/>
      <c r="N31" s="150"/>
      <c r="O31" s="150"/>
      <c r="P31" s="150"/>
      <c r="Q31" s="150"/>
      <c r="R31" s="150"/>
      <c r="S31" s="150"/>
      <c r="T31" s="150"/>
      <c r="U31" s="150"/>
      <c r="V31" s="150"/>
      <c r="W31" s="150"/>
      <c r="X31" s="150"/>
      <c r="Y31" s="150"/>
      <c r="Z31" s="150"/>
      <c r="AA31" s="150"/>
      <c r="AB31" s="150"/>
    </row>
    <row r="32" spans="2:29" ht="15.5" thickTop="1" thickBot="1" x14ac:dyDescent="0.4">
      <c r="B32" s="962" t="s">
        <v>997</v>
      </c>
      <c r="C32" s="690">
        <f>-C21</f>
        <v>-70150</v>
      </c>
      <c r="D32" s="961">
        <f t="shared" ref="D32:AB32" si="7">D29-D27</f>
        <v>47878.205833333333</v>
      </c>
      <c r="E32" s="961">
        <f t="shared" si="7"/>
        <v>5785.7964999999995</v>
      </c>
      <c r="F32" s="961">
        <f t="shared" si="7"/>
        <v>6010.3224056666659</v>
      </c>
      <c r="G32" s="961">
        <f t="shared" si="7"/>
        <v>6231.3719469089992</v>
      </c>
      <c r="H32" s="961">
        <f t="shared" si="7"/>
        <v>6459.2743294231768</v>
      </c>
      <c r="I32" s="961">
        <f t="shared" si="7"/>
        <v>6694.2420010644146</v>
      </c>
      <c r="J32" s="961">
        <f t="shared" si="7"/>
        <v>6936.4939958842624</v>
      </c>
      <c r="K32" s="961">
        <f t="shared" si="7"/>
        <v>7186.2561383127031</v>
      </c>
      <c r="L32" s="961">
        <f t="shared" si="7"/>
        <v>7443.76125367022</v>
      </c>
      <c r="M32" s="961">
        <f t="shared" si="7"/>
        <v>7709.2493852060561</v>
      </c>
      <c r="N32" s="961">
        <f t="shared" si="7"/>
        <v>7982.9680178650051</v>
      </c>
      <c r="O32" s="961">
        <f t="shared" si="7"/>
        <v>8265.1723089913485</v>
      </c>
      <c r="P32" s="961">
        <f t="shared" si="7"/>
        <v>8556.1253261849251</v>
      </c>
      <c r="Q32" s="961">
        <f t="shared" si="7"/>
        <v>8856.0982925311782</v>
      </c>
      <c r="R32" s="961">
        <f t="shared" si="7"/>
        <v>-4834.6291605663246</v>
      </c>
      <c r="S32" s="961">
        <f t="shared" si="7"/>
        <v>9484.2312672848311</v>
      </c>
      <c r="T32" s="961">
        <f t="shared" si="7"/>
        <v>9812.9768142178946</v>
      </c>
      <c r="U32" s="961">
        <f t="shared" si="7"/>
        <v>10151.913933190595</v>
      </c>
      <c r="V32" s="961">
        <f t="shared" si="7"/>
        <v>10501.358577658872</v>
      </c>
      <c r="W32" s="961">
        <f t="shared" si="7"/>
        <v>10861.636496106925</v>
      </c>
      <c r="X32" s="961">
        <f t="shared" si="7"/>
        <v>11233.083535708163</v>
      </c>
      <c r="Y32" s="961">
        <f t="shared" si="7"/>
        <v>11616.045955400146</v>
      </c>
      <c r="Z32" s="961">
        <f t="shared" si="7"/>
        <v>12010.8807486653</v>
      </c>
      <c r="AA32" s="961">
        <f t="shared" si="7"/>
        <v>12417.955976318404</v>
      </c>
      <c r="AB32" s="960">
        <f t="shared" si="7"/>
        <v>12221.999784894886</v>
      </c>
      <c r="AC32" s="959"/>
    </row>
    <row r="33" spans="2:28" ht="15" thickTop="1" x14ac:dyDescent="0.35">
      <c r="B33" t="s">
        <v>996</v>
      </c>
      <c r="C33" s="150">
        <f>C32</f>
        <v>-70150</v>
      </c>
      <c r="D33" s="150">
        <f>D32/((1+'Hipóteses xerais (2)'!$C$33)^('Fluxo de caixa'!D4))</f>
        <v>46368.898197020317</v>
      </c>
      <c r="E33" s="150">
        <f>E32/((1+'Hipóteses xerais (2)'!$C$33)^('Fluxo de caixa'!E4))</f>
        <v>5426.7644629467613</v>
      </c>
      <c r="F33" s="150">
        <f>F32/((1+'Hipóteses xerais (2)'!$C$33)^('Fluxo de caixa'!F4))</f>
        <v>5459.6461473878608</v>
      </c>
      <c r="G33" s="150">
        <f>G32/((1+'Hipóteses xerais (2)'!$C$33)^('Fluxo de caixa'!G4))</f>
        <v>5482.0035279387066</v>
      </c>
      <c r="H33" s="150">
        <f>H32/((1+'Hipóteses xerais (2)'!$C$33)^('Fluxo de caixa'!H4))</f>
        <v>5503.3644556563922</v>
      </c>
      <c r="I33" s="150">
        <f>I32/((1+'Hipóteses xerais (2)'!$C$33)^('Fluxo de caixa'!I4))</f>
        <v>5523.7607803024048</v>
      </c>
      <c r="J33" s="150">
        <f>J32/((1+'Hipóteses xerais (2)'!$C$33)^('Fluxo de caixa'!J4))</f>
        <v>5543.2233469526664</v>
      </c>
      <c r="K33" s="150">
        <f>K32/((1+'Hipóteses xerais (2)'!$C$33)^('Fluxo de caixa'!K4))</f>
        <v>5561.7820276701377</v>
      </c>
      <c r="L33" s="150">
        <f>L32/((1+'Hipóteses xerais (2)'!$C$33)^('Fluxo de caixa'!L4))</f>
        <v>5579.4657521789604</v>
      </c>
      <c r="M33" s="150">
        <f>M32/((1+'Hipóteses xerais (2)'!$C$33)^('Fluxo de caixa'!M4))</f>
        <v>5596.302537571627</v>
      </c>
      <c r="N33" s="150">
        <f>N32/((1+'Hipóteses xerais (2)'!$C$33)^('Fluxo de caixa'!N4))</f>
        <v>5612.3195170796671</v>
      </c>
      <c r="O33" s="150">
        <f>O32/((1+'Hipóteses xerais (2)'!$C$33)^('Fluxo de caixa'!O4))</f>
        <v>5627.5429679373874</v>
      </c>
      <c r="P33" s="150">
        <f>P32/((1+'Hipóteses xerais (2)'!$C$33)^('Fluxo de caixa'!P4))</f>
        <v>5641.9983383671924</v>
      </c>
      <c r="Q33" s="150">
        <f>Q32/((1+'Hipóteses xerais (2)'!$C$33)^('Fluxo de caixa'!Q4))</f>
        <v>5655.7102737142723</v>
      </c>
      <c r="R33" s="150">
        <f>R32/((1+'Hipóteses xerais (2)'!$C$33)^('Fluxo de caixa'!R4))</f>
        <v>-2990.1763468757813</v>
      </c>
      <c r="S33" s="150">
        <f>S32/((1+'Hipóteses xerais (2)'!$C$33)^('Fluxo de caixa'!S4))</f>
        <v>5680.9985572217402</v>
      </c>
      <c r="T33" s="150">
        <f>T32/((1+'Hipóteses xerais (2)'!$C$33)^('Fluxo de caixa'!T4))</f>
        <v>5692.6204055191956</v>
      </c>
      <c r="U33" s="150">
        <f>U32/((1+'Hipóteses xerais (2)'!$C$33)^('Fluxo de caixa'!U4))</f>
        <v>5703.5898657399903</v>
      </c>
      <c r="V33" s="150">
        <f>V32/((1+'Hipóteses xerais (2)'!$C$33)^('Fluxo de caixa'!V4))</f>
        <v>5713.9279329197352</v>
      </c>
      <c r="W33" s="150">
        <f>W32/((1+'Hipóteses xerais (2)'!$C$33)^('Fluxo de caixa'!W4))</f>
        <v>5723.6549396044566</v>
      </c>
      <c r="X33" s="150">
        <f>X32/((1+'Hipóteses xerais (2)'!$C$33)^('Fluxo de caixa'!X4))</f>
        <v>5732.7905767358061</v>
      </c>
      <c r="Y33" s="150">
        <f>Y32/((1+'Hipóteses xerais (2)'!$C$33)^('Fluxo de caixa'!Y4))</f>
        <v>5741.3539138779124</v>
      </c>
      <c r="Z33" s="150">
        <f>Z32/((1+'Hipóteses xerais (2)'!$C$33)^('Fluxo de caixa'!Z4))</f>
        <v>5749.3634188065625</v>
      </c>
      <c r="AA33" s="150">
        <f>AA32/((1+'Hipóteses xerais (2)'!$C$33)^('Fluxo de caixa'!AA4))</f>
        <v>5756.836976480904</v>
      </c>
      <c r="AB33" s="150">
        <f>AB32/((1+'Hipóteses xerais (2)'!$C$33)^('Fluxo de caixa'!AB4))</f>
        <v>5487.3794942044215</v>
      </c>
    </row>
    <row r="34" spans="2:28" x14ac:dyDescent="0.35">
      <c r="B34" t="s">
        <v>995</v>
      </c>
      <c r="C34" s="150">
        <f>C30</f>
        <v>-70150</v>
      </c>
      <c r="D34" s="150">
        <f>D30/((1+'Hipóteses xerais (2)'!$C$33)^('Fluxo de caixa'!D4))</f>
        <v>5692.9018772295121</v>
      </c>
      <c r="E34" s="150">
        <f>E30/((1+'Hipóteses xerais (2)'!$C$33)^('Fluxo de caixa'!E4))</f>
        <v>5426.7644629467613</v>
      </c>
      <c r="F34" s="150">
        <f>F30/((1+'Hipóteses xerais (2)'!$C$33)^('Fluxo de caixa'!F4))</f>
        <v>5459.6461473878608</v>
      </c>
      <c r="G34" s="150">
        <f>G30/((1+'Hipóteses xerais (2)'!$C$33)^('Fluxo de caixa'!G4))</f>
        <v>5482.0035279387066</v>
      </c>
      <c r="H34" s="150">
        <f>H30/((1+'Hipóteses xerais (2)'!$C$33)^('Fluxo de caixa'!H4))</f>
        <v>5503.3644556563922</v>
      </c>
      <c r="I34" s="150">
        <f>I30/((1+'Hipóteses xerais (2)'!$C$33)^('Fluxo de caixa'!I4))</f>
        <v>5523.7607803024048</v>
      </c>
      <c r="J34" s="150">
        <f>J30/((1+'Hipóteses xerais (2)'!$C$33)^('Fluxo de caixa'!J4))</f>
        <v>5543.2233469526664</v>
      </c>
      <c r="K34" s="150">
        <f>K30/((1+'Hipóteses xerais (2)'!$C$33)^('Fluxo de caixa'!K4))</f>
        <v>5561.7820276701377</v>
      </c>
      <c r="L34" s="150">
        <f>L30/((1+'Hipóteses xerais (2)'!$C$33)^('Fluxo de caixa'!L4))</f>
        <v>5579.4657521789604</v>
      </c>
      <c r="M34" s="150">
        <f>M30/((1+'Hipóteses xerais (2)'!$C$33)^('Fluxo de caixa'!M4))</f>
        <v>5596.302537571627</v>
      </c>
      <c r="N34" s="150">
        <f>N30/((1+'Hipóteses xerais (2)'!$C$33)^('Fluxo de caixa'!N4))</f>
        <v>5612.3195170796671</v>
      </c>
      <c r="O34" s="150">
        <f>O30/((1+'Hipóteses xerais (2)'!$C$33)^('Fluxo de caixa'!O4))</f>
        <v>5627.5429679373874</v>
      </c>
      <c r="P34" s="150">
        <f>P30/((1+'Hipóteses xerais (2)'!$C$33)^('Fluxo de caixa'!P4))</f>
        <v>5641.9983383671924</v>
      </c>
      <c r="Q34" s="150">
        <f>Q30/((1+'Hipóteses xerais (2)'!$C$33)^('Fluxo de caixa'!Q4))</f>
        <v>5655.7102737142723</v>
      </c>
      <c r="R34" s="150">
        <f>R30/((1+'Hipóteses xerais (2)'!$C$33)^('Fluxo de caixa'!R4))</f>
        <v>-2990.1763468757813</v>
      </c>
      <c r="S34" s="150">
        <f>S30/((1+'Hipóteses xerais (2)'!$C$33)^('Fluxo de caixa'!S4))</f>
        <v>5680.9985572217402</v>
      </c>
      <c r="T34" s="150">
        <f>T30/((1+'Hipóteses xerais (2)'!$C$33)^('Fluxo de caixa'!T4))</f>
        <v>5692.6204055191956</v>
      </c>
      <c r="U34" s="150">
        <f>U30/((1+'Hipóteses xerais (2)'!$C$33)^('Fluxo de caixa'!U4))</f>
        <v>5703.5898657399903</v>
      </c>
      <c r="V34" s="150">
        <f>V30/((1+'Hipóteses xerais (2)'!$C$33)^('Fluxo de caixa'!V4))</f>
        <v>5713.9279329197352</v>
      </c>
      <c r="W34" s="150">
        <f>W30/((1+'Hipóteses xerais (2)'!$C$33)^('Fluxo de caixa'!W4))</f>
        <v>5723.6549396044566</v>
      </c>
      <c r="X34" s="150">
        <f>X30/((1+'Hipóteses xerais (2)'!$C$33)^('Fluxo de caixa'!X4))</f>
        <v>5732.7905767358061</v>
      </c>
      <c r="Y34" s="150">
        <f>Y30/((1+'Hipóteses xerais (2)'!$C$33)^('Fluxo de caixa'!Y4))</f>
        <v>5741.3539138779124</v>
      </c>
      <c r="Z34" s="150">
        <f>Z30/((1+'Hipóteses xerais (2)'!$C$33)^('Fluxo de caixa'!Z4))</f>
        <v>5749.3634188065625</v>
      </c>
      <c r="AA34" s="150">
        <f>AA30/((1+'Hipóteses xerais (2)'!$C$33)^('Fluxo de caixa'!AA4))</f>
        <v>5756.836976480904</v>
      </c>
      <c r="AB34" s="150">
        <f>AB30/((1+'Hipóteses xerais (2)'!$C$33)^('Fluxo de caixa'!AB4))</f>
        <v>5487.3794942044215</v>
      </c>
    </row>
    <row r="35" spans="2:28" x14ac:dyDescent="0.35">
      <c r="B35" s="13" t="s">
        <v>994</v>
      </c>
      <c r="C35" s="150"/>
      <c r="D35" s="150"/>
      <c r="E35" s="150"/>
      <c r="F35" s="150"/>
      <c r="G35" s="150"/>
      <c r="H35" s="150"/>
      <c r="I35" s="150"/>
      <c r="J35" s="150"/>
      <c r="K35" s="150"/>
      <c r="L35" s="150"/>
      <c r="M35" s="150"/>
      <c r="N35" s="150"/>
      <c r="O35" s="150"/>
      <c r="P35" s="150"/>
      <c r="Q35" s="150"/>
      <c r="R35" s="150"/>
      <c r="S35" s="150"/>
      <c r="T35" s="150"/>
      <c r="U35" s="150"/>
      <c r="V35" s="150"/>
      <c r="W35" s="150"/>
      <c r="X35" s="150"/>
      <c r="Y35" s="150"/>
      <c r="Z35" s="150"/>
      <c r="AA35" s="150"/>
      <c r="AB35" s="150"/>
    </row>
    <row r="36" spans="2:28" ht="15" thickBot="1" x14ac:dyDescent="0.4">
      <c r="C36" s="150"/>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row>
    <row r="37" spans="2:28" ht="15.5" thickTop="1" thickBot="1" x14ac:dyDescent="0.4">
      <c r="B37" s="947" t="s">
        <v>993</v>
      </c>
      <c r="C37" s="952">
        <f>IRR(C30:AB30)</f>
        <v>9.0925758702754766E-2</v>
      </c>
      <c r="D37" s="150"/>
      <c r="E37" s="958" t="s">
        <v>992</v>
      </c>
      <c r="F37" s="957"/>
      <c r="G37" s="957"/>
      <c r="H37" s="957"/>
      <c r="I37" s="957"/>
      <c r="J37" s="957"/>
      <c r="K37" s="957"/>
      <c r="L37" s="957"/>
      <c r="M37" s="957"/>
      <c r="N37" s="956"/>
      <c r="O37" s="150"/>
      <c r="P37" s="150"/>
      <c r="Q37" s="150"/>
      <c r="R37" s="150"/>
      <c r="S37" s="150"/>
      <c r="T37" s="150"/>
      <c r="U37" s="150"/>
      <c r="V37" s="150"/>
      <c r="W37" s="150"/>
      <c r="X37" s="150"/>
      <c r="Y37" s="150"/>
      <c r="Z37" s="150"/>
      <c r="AA37" s="150"/>
      <c r="AB37" s="150"/>
    </row>
    <row r="38" spans="2:28" ht="15.5" thickTop="1" thickBot="1" x14ac:dyDescent="0.4">
      <c r="B38" s="947" t="s">
        <v>991</v>
      </c>
      <c r="C38" s="952">
        <f>MIRR(C30:AB30,'Hipóteses xerais (2)'!C33,'Hipóteses xerais (2)'!C33)</f>
        <v>5.8141996032660792E-2</v>
      </c>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row>
    <row r="39" spans="2:28" ht="15.5" thickTop="1" thickBot="1" x14ac:dyDescent="0.4">
      <c r="B39" s="947" t="s">
        <v>990</v>
      </c>
      <c r="C39" s="952">
        <f>IRR(C32:AB32)</f>
        <v>0.18795408864930852</v>
      </c>
      <c r="D39" s="150"/>
      <c r="E39" s="955" t="s">
        <v>989</v>
      </c>
      <c r="F39" s="954"/>
      <c r="G39" s="954"/>
      <c r="H39" s="954"/>
      <c r="I39" s="954"/>
      <c r="J39" s="954"/>
      <c r="K39" s="954"/>
      <c r="L39" s="953"/>
      <c r="M39" s="150"/>
      <c r="N39" s="150"/>
      <c r="O39" s="150"/>
      <c r="P39" s="150"/>
      <c r="Q39" s="150"/>
      <c r="R39" s="150"/>
      <c r="S39" s="150"/>
      <c r="T39" s="150"/>
      <c r="U39" s="150"/>
      <c r="V39" s="150"/>
      <c r="W39" s="150"/>
      <c r="X39" s="150"/>
      <c r="Y39" s="150"/>
      <c r="Z39" s="150"/>
      <c r="AA39" s="150"/>
    </row>
    <row r="40" spans="2:28" ht="15.5" thickTop="1" thickBot="1" x14ac:dyDescent="0.4">
      <c r="B40" s="947" t="s">
        <v>988</v>
      </c>
      <c r="C40" s="952">
        <f>MIRR(C32:AB32, 10%,'Hipóteses xerais (2)'!C33)</f>
        <v>7.0442296290374573E-2</v>
      </c>
      <c r="D40" s="150"/>
      <c r="E40" s="951" t="str">
        <f>'Hipóteses Xerais'!$B$34</f>
        <v>Si</v>
      </c>
      <c r="F40" s="950"/>
      <c r="G40" s="950"/>
      <c r="H40" s="950"/>
      <c r="I40" s="950"/>
      <c r="J40" s="950"/>
      <c r="K40" s="950"/>
      <c r="L40" s="949"/>
      <c r="M40" s="150"/>
      <c r="N40" s="150"/>
      <c r="O40" s="150"/>
      <c r="P40" s="150"/>
      <c r="Q40" s="150"/>
      <c r="R40" s="150"/>
      <c r="S40" s="150"/>
      <c r="T40" s="150"/>
      <c r="U40" s="150"/>
      <c r="V40" s="150"/>
      <c r="W40" s="150"/>
      <c r="X40" s="150"/>
      <c r="Y40" s="150"/>
      <c r="Z40" s="150"/>
      <c r="AA40" s="150"/>
    </row>
    <row r="41" spans="2:28" ht="15.5" thickTop="1" thickBot="1" x14ac:dyDescent="0.4">
      <c r="B41" s="947" t="s">
        <v>987</v>
      </c>
      <c r="C41" s="948">
        <f>C29+NPV(5%,D29:AB29)</f>
        <v>17740.760985948535</v>
      </c>
      <c r="D41" s="150"/>
      <c r="E41" s="150"/>
      <c r="F41" s="150"/>
      <c r="G41" s="150"/>
      <c r="H41" s="150"/>
      <c r="I41" s="150"/>
      <c r="J41" s="150"/>
      <c r="K41" s="150"/>
      <c r="L41" s="150"/>
      <c r="M41" s="150"/>
      <c r="N41" s="150"/>
      <c r="O41" s="150"/>
      <c r="P41" s="150"/>
      <c r="Q41" s="150"/>
      <c r="R41" s="150"/>
      <c r="S41" s="150"/>
      <c r="T41" s="150"/>
      <c r="U41" s="150"/>
      <c r="V41" s="150"/>
      <c r="W41" s="150"/>
      <c r="X41" s="150"/>
      <c r="Y41" s="150"/>
      <c r="Z41" s="150"/>
      <c r="AA41" s="150"/>
    </row>
    <row r="42" spans="2:28" ht="15.5" thickTop="1" thickBot="1" x14ac:dyDescent="0.4">
      <c r="B42" s="947" t="s">
        <v>986</v>
      </c>
      <c r="C42" s="946">
        <f>(-C33)/AVERAGE(D33:AB33)</f>
        <v>10.162241109813868</v>
      </c>
      <c r="D42" s="150"/>
      <c r="E42" s="150"/>
      <c r="F42" s="150"/>
      <c r="G42" s="150"/>
      <c r="H42" s="150"/>
      <c r="I42" s="150"/>
      <c r="J42" s="150"/>
      <c r="K42" s="150"/>
      <c r="L42" s="150"/>
      <c r="M42" s="150"/>
      <c r="N42" s="150"/>
      <c r="O42" s="150"/>
      <c r="P42" s="150"/>
      <c r="Q42" s="150"/>
      <c r="R42" s="150"/>
      <c r="S42" s="150"/>
      <c r="T42" s="150"/>
      <c r="U42" s="150"/>
      <c r="V42" s="150"/>
      <c r="W42" s="150"/>
      <c r="X42" s="150"/>
      <c r="Y42" s="150"/>
      <c r="Z42" s="150"/>
      <c r="AA42" s="150"/>
    </row>
    <row r="43" spans="2:28" ht="15.5" thickTop="1" thickBot="1" x14ac:dyDescent="0.4">
      <c r="B43" s="947" t="s">
        <v>985</v>
      </c>
      <c r="C43" s="946">
        <f>(-C34)/AVERAGE(D34:AB34)</f>
        <v>13.29614574824161</v>
      </c>
      <c r="D43" s="150"/>
      <c r="E43" s="150"/>
      <c r="F43" s="150"/>
      <c r="G43" s="150"/>
      <c r="H43" s="150"/>
      <c r="I43" s="150"/>
      <c r="J43" s="150"/>
      <c r="K43" s="150"/>
      <c r="L43" s="150"/>
      <c r="M43" s="150"/>
      <c r="N43" s="150"/>
      <c r="O43" s="150"/>
      <c r="P43" s="150"/>
      <c r="Q43" s="150"/>
      <c r="R43" s="150"/>
      <c r="S43" s="150"/>
      <c r="T43" s="150"/>
      <c r="U43" s="150"/>
      <c r="V43" s="150"/>
      <c r="W43" s="150"/>
      <c r="X43" s="150"/>
      <c r="Y43" s="150"/>
      <c r="Z43" s="150"/>
      <c r="AA43" s="150"/>
    </row>
    <row r="44" spans="2:28" ht="15" thickTop="1" x14ac:dyDescent="0.35">
      <c r="B44" s="945" t="s">
        <v>984</v>
      </c>
      <c r="C44" s="944">
        <f>'Hipóteses xerais (2)'!$F$35</f>
        <v>70150</v>
      </c>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row>
    <row r="45" spans="2:28" x14ac:dyDescent="0.35">
      <c r="B45" s="945" t="s">
        <v>983</v>
      </c>
      <c r="C45" s="944">
        <f>IF('Hipóteses xerais (2)'!$E$64="Si",'Hipóteses xerais (2)'!$C$62,0)</f>
        <v>42000</v>
      </c>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row>
    <row r="46" spans="2:28" ht="15" thickBot="1" x14ac:dyDescent="0.4">
      <c r="B46" s="943" t="s">
        <v>982</v>
      </c>
      <c r="C46" s="942">
        <f>'x Financiamento'!$E$11</f>
        <v>0</v>
      </c>
      <c r="D46" s="150"/>
      <c r="E46" s="150"/>
      <c r="F46" s="150"/>
      <c r="G46" s="150"/>
      <c r="H46" s="150"/>
      <c r="I46" s="150"/>
      <c r="J46" s="150"/>
      <c r="K46" s="150"/>
      <c r="L46" s="150"/>
      <c r="M46" s="150"/>
      <c r="N46" s="150"/>
      <c r="O46" s="150"/>
      <c r="P46" s="150"/>
      <c r="Q46" s="150"/>
      <c r="R46" s="150"/>
      <c r="S46" s="150"/>
      <c r="T46" s="150"/>
      <c r="U46" s="150"/>
      <c r="V46" s="150"/>
      <c r="W46" s="150"/>
      <c r="X46" s="150"/>
      <c r="Y46" s="150"/>
      <c r="Z46" s="150"/>
      <c r="AA46" s="150"/>
    </row>
    <row r="47" spans="2:28" ht="15.5" thickTop="1" thickBot="1" x14ac:dyDescent="0.4">
      <c r="B47" s="692" t="s">
        <v>981</v>
      </c>
      <c r="C47" s="739">
        <f>SUM(C44:C46)</f>
        <v>112150</v>
      </c>
      <c r="D47" s="150"/>
      <c r="E47" s="150"/>
      <c r="F47" s="150"/>
      <c r="G47" s="150"/>
      <c r="H47" s="150"/>
      <c r="I47" s="150"/>
      <c r="J47" s="150"/>
      <c r="K47" s="150"/>
      <c r="L47" s="150"/>
      <c r="M47" s="150"/>
      <c r="N47" s="150"/>
      <c r="O47" s="150"/>
      <c r="P47" s="150"/>
      <c r="Q47" s="150"/>
      <c r="R47" s="150"/>
      <c r="S47" s="150"/>
      <c r="T47" s="150"/>
      <c r="U47" s="150"/>
      <c r="V47" s="150"/>
      <c r="W47" s="150"/>
      <c r="X47" s="150"/>
      <c r="Y47" s="150"/>
      <c r="Z47" s="150"/>
      <c r="AA47" s="150"/>
    </row>
    <row r="48" spans="2:28" ht="15" thickTop="1" x14ac:dyDescent="0.35">
      <c r="B48" s="171"/>
      <c r="C48" s="695"/>
      <c r="D48" s="150"/>
      <c r="E48" s="150"/>
      <c r="F48" s="150"/>
      <c r="G48" s="150"/>
      <c r="H48" s="150"/>
      <c r="I48" s="150"/>
      <c r="J48" s="150"/>
      <c r="K48" s="150"/>
      <c r="L48" s="150"/>
      <c r="M48" s="150"/>
      <c r="N48" s="150"/>
      <c r="O48" s="150"/>
      <c r="P48" s="150"/>
      <c r="Q48" s="150"/>
      <c r="R48" s="150"/>
      <c r="S48" s="150"/>
      <c r="T48" s="150"/>
      <c r="U48" s="150"/>
      <c r="V48" s="150"/>
      <c r="W48" s="150"/>
      <c r="X48" s="150"/>
      <c r="Y48" s="150"/>
      <c r="Z48" s="150"/>
      <c r="AA48" s="150"/>
    </row>
    <row r="49" spans="2:27" ht="15" thickBot="1" x14ac:dyDescent="0.4">
      <c r="B49" s="171"/>
      <c r="C49" s="695"/>
      <c r="D49" s="150"/>
      <c r="E49" s="150"/>
      <c r="F49" s="150"/>
      <c r="G49" s="150"/>
      <c r="H49" s="150"/>
      <c r="I49" s="150"/>
      <c r="J49" s="150"/>
      <c r="K49" s="150"/>
      <c r="L49" s="150"/>
      <c r="M49" s="150"/>
      <c r="N49" s="150"/>
      <c r="O49" s="150"/>
      <c r="P49" s="150"/>
      <c r="Q49" s="150"/>
      <c r="R49" s="150"/>
      <c r="S49" s="150"/>
      <c r="T49" s="150"/>
      <c r="U49" s="150"/>
      <c r="V49" s="150"/>
      <c r="W49" s="150"/>
      <c r="X49" s="150"/>
      <c r="Y49" s="150"/>
      <c r="Z49" s="150"/>
      <c r="AA49" s="150"/>
    </row>
    <row r="50" spans="2:27" ht="15.5" thickTop="1" thickBot="1" x14ac:dyDescent="0.4">
      <c r="B50" s="692" t="s">
        <v>980</v>
      </c>
      <c r="C50" s="739">
        <f>'Hipóteses xerais (2)'!$C$91</f>
        <v>84150</v>
      </c>
      <c r="D50" s="150"/>
      <c r="E50" s="150"/>
      <c r="F50" s="150"/>
      <c r="G50" s="150"/>
      <c r="H50" s="150"/>
      <c r="I50" s="150"/>
      <c r="J50" s="150"/>
      <c r="K50" s="150"/>
      <c r="L50" s="150"/>
      <c r="M50" s="150"/>
      <c r="N50" s="150"/>
      <c r="O50" s="150"/>
      <c r="P50" s="150"/>
      <c r="Q50" s="150"/>
      <c r="R50" s="150"/>
      <c r="S50" s="150"/>
      <c r="T50" s="150"/>
      <c r="U50" s="150"/>
      <c r="V50" s="150"/>
      <c r="W50" s="150"/>
      <c r="X50" s="150"/>
      <c r="Y50" s="150"/>
      <c r="Z50" s="150"/>
      <c r="AA50" s="150"/>
    </row>
    <row r="51" spans="2:27" ht="15" thickTop="1" x14ac:dyDescent="0.35">
      <c r="B51" s="941" t="s">
        <v>979</v>
      </c>
      <c r="C51" s="695">
        <f>'Hipóteses xerais (2)'!$C$19</f>
        <v>84000</v>
      </c>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row>
    <row r="52" spans="2:27" ht="15" thickBot="1" x14ac:dyDescent="0.4">
      <c r="B52" s="940" t="s">
        <v>978</v>
      </c>
      <c r="C52" s="939">
        <f>'Hipóteses xerais (2)'!$C$74</f>
        <v>150</v>
      </c>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row>
    <row r="53" spans="2:27" ht="15" thickTop="1" x14ac:dyDescent="0.35"/>
  </sheetData>
  <dataValidations count="1">
    <dataValidation type="list" allowBlank="1" showDropDown="1" showInputMessage="1" showErrorMessage="1" sqref="E40" xr:uid="{B3E06988-B35D-4ED9-AAB8-036A5CC89623}">
      <formula1>"Si,Non"</formula1>
    </dataValidation>
  </dataValidations>
  <printOptions horizontalCentered="1"/>
  <pageMargins left="0.70866141732283472" right="0.70866141732283472" top="0.74803149606299213" bottom="0.74803149606299213" header="0.31496062992125984" footer="0.31496062992125984"/>
  <pageSetup paperSize="9" orientation="landscape"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233DE-C8C1-4B3E-B8B3-CF585B0B0A65}">
  <dimension ref="A1:AB27"/>
  <sheetViews>
    <sheetView workbookViewId="0">
      <selection activeCell="F2" sqref="F2"/>
    </sheetView>
  </sheetViews>
  <sheetFormatPr baseColWidth="10" defaultColWidth="10.90625" defaultRowHeight="14.5" x14ac:dyDescent="0.35"/>
  <cols>
    <col min="1" max="1" width="70.453125" bestFit="1" customWidth="1"/>
    <col min="2" max="2" width="12.90625" bestFit="1" customWidth="1"/>
    <col min="17" max="27" width="11.90625" bestFit="1" customWidth="1"/>
    <col min="28" max="28" width="20.36328125" bestFit="1" customWidth="1"/>
  </cols>
  <sheetData>
    <row r="1" spans="1:28" ht="15" thickBot="1" x14ac:dyDescent="0.4"/>
    <row r="2" spans="1:28" ht="15" thickTop="1" x14ac:dyDescent="0.35">
      <c r="A2" s="537"/>
      <c r="B2" s="1037">
        <v>0</v>
      </c>
      <c r="C2" s="684">
        <v>1</v>
      </c>
      <c r="D2" s="684">
        <v>2</v>
      </c>
      <c r="E2" s="684">
        <v>3</v>
      </c>
      <c r="F2" s="684">
        <v>4</v>
      </c>
      <c r="G2" s="684">
        <v>5</v>
      </c>
      <c r="H2" s="684">
        <v>6</v>
      </c>
      <c r="I2" s="684">
        <v>7</v>
      </c>
      <c r="J2" s="684">
        <v>8</v>
      </c>
      <c r="K2" s="684">
        <v>9</v>
      </c>
      <c r="L2" s="684">
        <v>10</v>
      </c>
      <c r="M2" s="684">
        <v>11</v>
      </c>
      <c r="N2" s="684">
        <v>12</v>
      </c>
      <c r="O2" s="684">
        <v>13</v>
      </c>
      <c r="P2" s="684">
        <v>14</v>
      </c>
      <c r="Q2" s="684">
        <v>15</v>
      </c>
      <c r="R2" s="684">
        <v>16</v>
      </c>
      <c r="S2" s="684">
        <v>17</v>
      </c>
      <c r="T2" s="684">
        <v>18</v>
      </c>
      <c r="U2" s="684">
        <v>19</v>
      </c>
      <c r="V2" s="684">
        <v>20</v>
      </c>
      <c r="W2" s="684">
        <v>21</v>
      </c>
      <c r="X2" s="684">
        <v>22</v>
      </c>
      <c r="Y2" s="684">
        <v>23</v>
      </c>
      <c r="Z2" s="684">
        <v>24</v>
      </c>
      <c r="AA2" s="1036">
        <v>25</v>
      </c>
      <c r="AB2" s="1008" t="s">
        <v>1025</v>
      </c>
    </row>
    <row r="3" spans="1:28" ht="17" customHeight="1" thickBot="1" x14ac:dyDescent="0.4">
      <c r="A3" s="372" t="s">
        <v>1024</v>
      </c>
      <c r="B3" s="1035"/>
      <c r="C3" s="65">
        <f>'Conta explotación'!F$5</f>
        <v>2025</v>
      </c>
      <c r="D3" s="65">
        <f>'Conta explotación'!G$5</f>
        <v>2026</v>
      </c>
      <c r="E3" s="65">
        <f>'Conta explotación'!H$5</f>
        <v>2027</v>
      </c>
      <c r="F3" s="65">
        <f>'Conta explotación'!I$5</f>
        <v>2028</v>
      </c>
      <c r="G3" s="65">
        <f>'Conta explotación'!J$5</f>
        <v>2029</v>
      </c>
      <c r="H3" s="65">
        <f>'Conta explotación'!K$5</f>
        <v>2030</v>
      </c>
      <c r="I3" s="65">
        <f>'Conta explotación'!L$5</f>
        <v>2031</v>
      </c>
      <c r="J3" s="65">
        <f>'Conta explotación'!M$5</f>
        <v>2032</v>
      </c>
      <c r="K3" s="65">
        <f>'Conta explotación'!N$5</f>
        <v>2033</v>
      </c>
      <c r="L3" s="65">
        <f>'Conta explotación'!O$5</f>
        <v>2034</v>
      </c>
      <c r="M3" s="65">
        <f>'Conta explotación'!P$5</f>
        <v>2035</v>
      </c>
      <c r="N3" s="65">
        <f>'Conta explotación'!Q$5</f>
        <v>2036</v>
      </c>
      <c r="O3" s="65">
        <f>'Conta explotación'!R$5</f>
        <v>2037</v>
      </c>
      <c r="P3" s="65">
        <f>'Conta explotación'!S$5</f>
        <v>2038</v>
      </c>
      <c r="Q3" s="65">
        <f>'Conta explotación'!T$5</f>
        <v>2039</v>
      </c>
      <c r="R3" s="65">
        <f>'Conta explotación'!U$5</f>
        <v>2040</v>
      </c>
      <c r="S3" s="65">
        <f>'Conta explotación'!V$5</f>
        <v>2041</v>
      </c>
      <c r="T3" s="65">
        <f>'Conta explotación'!W$5</f>
        <v>2042</v>
      </c>
      <c r="U3" s="65">
        <f>'Conta explotación'!X$5</f>
        <v>2043</v>
      </c>
      <c r="V3" s="65">
        <f>'Conta explotación'!Y$5</f>
        <v>2044</v>
      </c>
      <c r="W3" s="65">
        <f>'Conta explotación'!Z$5</f>
        <v>2045</v>
      </c>
      <c r="X3" s="65">
        <f>'Conta explotación'!AA$5</f>
        <v>2046</v>
      </c>
      <c r="Y3" s="65">
        <f>'Conta explotación'!AB$5</f>
        <v>2047</v>
      </c>
      <c r="Z3" s="65">
        <f>'Conta explotación'!AC$5</f>
        <v>2048</v>
      </c>
      <c r="AA3" s="1034">
        <f>'Conta explotación'!AD$5</f>
        <v>2049</v>
      </c>
      <c r="AB3" s="1003" t="s">
        <v>1023</v>
      </c>
    </row>
    <row r="4" spans="1:28" ht="15" thickTop="1" x14ac:dyDescent="0.35">
      <c r="A4" s="640" t="s">
        <v>1039</v>
      </c>
      <c r="B4" s="1033">
        <v>0</v>
      </c>
      <c r="C4" s="1032">
        <f>'Conta explotación'!F6</f>
        <v>4466</v>
      </c>
      <c r="D4" s="638">
        <f>'Conta explotación'!G6</f>
        <v>4604.4459999999999</v>
      </c>
      <c r="E4" s="638">
        <f>'Conta explotación'!H6</f>
        <v>4747.1838259999995</v>
      </c>
      <c r="F4" s="638">
        <f>'Conta explotación'!I6</f>
        <v>4894.3465246059986</v>
      </c>
      <c r="G4" s="638">
        <f>'Conta explotación'!J6</f>
        <v>5046.0712668687838</v>
      </c>
      <c r="H4" s="638">
        <f>'Conta explotación'!K6</f>
        <v>5202.4994761417156</v>
      </c>
      <c r="I4" s="638">
        <f>'Conta explotación'!L6</f>
        <v>5363.7769599021085</v>
      </c>
      <c r="J4" s="638">
        <f>'Conta explotación'!M6</f>
        <v>5530.0540456590734</v>
      </c>
      <c r="K4" s="638">
        <f>'Conta explotación'!N6</f>
        <v>5701.485721074504</v>
      </c>
      <c r="L4" s="638">
        <f>'Conta explotación'!O6</f>
        <v>5878.231778427813</v>
      </c>
      <c r="M4" s="638">
        <f>'Conta explotación'!P6</f>
        <v>6060.4569635590751</v>
      </c>
      <c r="N4" s="638">
        <f>'Conta explotación'!Q6</f>
        <v>6248.3311294294062</v>
      </c>
      <c r="O4" s="638">
        <f>'Conta explotación'!R6</f>
        <v>6442.0293944417172</v>
      </c>
      <c r="P4" s="638">
        <f>'Conta explotación'!S6</f>
        <v>6641.7323056694095</v>
      </c>
      <c r="Q4" s="638">
        <f>'Conta explotación'!T6</f>
        <v>6847.6260071451607</v>
      </c>
      <c r="R4" s="638">
        <f>'Conta explotación'!U6</f>
        <v>7059.9024133666599</v>
      </c>
      <c r="S4" s="638">
        <f>'Conta explotación'!V6</f>
        <v>7278.7593881810253</v>
      </c>
      <c r="T4" s="638">
        <f>'Conta explotación'!W6</f>
        <v>7504.4009292146366</v>
      </c>
      <c r="U4" s="638">
        <f>'Conta explotación'!X6</f>
        <v>7737.0373580202895</v>
      </c>
      <c r="V4" s="638">
        <f>'Conta explotación'!Y6</f>
        <v>7976.8855161189176</v>
      </c>
      <c r="W4" s="638">
        <f>'Conta explotación'!Z6</f>
        <v>8224.1689671186032</v>
      </c>
      <c r="X4" s="638">
        <f>'Conta explotación'!AA6</f>
        <v>8479.1182050992793</v>
      </c>
      <c r="Y4" s="638">
        <f>'Conta explotación'!AB6</f>
        <v>8741.9708694573565</v>
      </c>
      <c r="Z4" s="638">
        <f>'Conta explotación'!AC6</f>
        <v>9012.9719664105342</v>
      </c>
      <c r="AA4" s="660">
        <f>'Conta explotación'!AD6</f>
        <v>9292.3740973692602</v>
      </c>
      <c r="AB4" s="1031">
        <f t="shared" ref="AB4:AB10" si="0">SUM(B4:AA4)</f>
        <v>164981.86110928131</v>
      </c>
    </row>
    <row r="5" spans="1:28" x14ac:dyDescent="0.35">
      <c r="A5" s="1030" t="s">
        <v>1038</v>
      </c>
      <c r="B5" s="1029">
        <v>0</v>
      </c>
      <c r="C5" s="1028">
        <f>'Conta explotación'!F7</f>
        <v>2233</v>
      </c>
      <c r="D5" s="1027">
        <f>'Conta explotación'!G7</f>
        <v>2302.223</v>
      </c>
      <c r="E5" s="1027">
        <f>'Conta explotación'!H7</f>
        <v>2373.5919129999997</v>
      </c>
      <c r="F5" s="1027">
        <f>'Conta explotación'!I7</f>
        <v>2447.1732623029993</v>
      </c>
      <c r="G5" s="1027">
        <f>'Conta explotación'!J7</f>
        <v>2523.0356334343919</v>
      </c>
      <c r="H5" s="1027">
        <f>'Conta explotación'!K7</f>
        <v>2601.2497380708578</v>
      </c>
      <c r="I5" s="1027">
        <f>'Conta explotación'!L7</f>
        <v>2681.8884799510543</v>
      </c>
      <c r="J5" s="1027">
        <f>'Conta explotación'!M7</f>
        <v>2765.0270228295367</v>
      </c>
      <c r="K5" s="1027">
        <f>'Conta explotación'!N7</f>
        <v>2850.742860537252</v>
      </c>
      <c r="L5" s="1027">
        <f>'Conta explotación'!O7</f>
        <v>2939.1158892139065</v>
      </c>
      <c r="M5" s="1027">
        <f>'Conta explotación'!P7</f>
        <v>3030.2284817795376</v>
      </c>
      <c r="N5" s="1027">
        <f>'Conta explotación'!Q7</f>
        <v>3124.1655647147031</v>
      </c>
      <c r="O5" s="1027">
        <f>'Conta explotación'!R7</f>
        <v>3221.0146972208586</v>
      </c>
      <c r="P5" s="1027">
        <f>'Conta explotación'!S7</f>
        <v>3320.8661528347047</v>
      </c>
      <c r="Q5" s="1027">
        <f>'Conta explotación'!T7</f>
        <v>3423.8130035725803</v>
      </c>
      <c r="R5" s="1027">
        <f>'Conta explotación'!U7</f>
        <v>3529.9512066833299</v>
      </c>
      <c r="S5" s="1027">
        <f>'Conta explotación'!V7</f>
        <v>3639.3796940905127</v>
      </c>
      <c r="T5" s="1027">
        <f>'Conta explotación'!W7</f>
        <v>3752.2004646073183</v>
      </c>
      <c r="U5" s="1027">
        <f>'Conta explotación'!X7</f>
        <v>3868.5186790101448</v>
      </c>
      <c r="V5" s="1027">
        <f>'Conta explotación'!Y7</f>
        <v>3988.4427580594588</v>
      </c>
      <c r="W5" s="1027">
        <f>'Conta explotación'!Z7</f>
        <v>4112.0844835593016</v>
      </c>
      <c r="X5" s="1027">
        <f>'Conta explotación'!AA7</f>
        <v>4239.5591025496396</v>
      </c>
      <c r="Y5" s="1027">
        <f>'Conta explotación'!AB7</f>
        <v>4370.9854347286782</v>
      </c>
      <c r="Z5" s="1027">
        <f>'Conta explotación'!AC7</f>
        <v>4506.4859832052671</v>
      </c>
      <c r="AA5" s="1027">
        <f>'Conta explotación'!AD7</f>
        <v>4646.1870486846301</v>
      </c>
      <c r="AB5" s="715">
        <f t="shared" si="0"/>
        <v>82490.930554640654</v>
      </c>
    </row>
    <row r="6" spans="1:28" ht="15" thickBot="1" x14ac:dyDescent="0.4">
      <c r="A6" s="634" t="s">
        <v>1037</v>
      </c>
      <c r="B6" s="1029">
        <v>0</v>
      </c>
      <c r="C6" s="1028">
        <f>'Conta explotación'!F8</f>
        <v>0</v>
      </c>
      <c r="D6" s="1027">
        <f>'Conta explotación'!G8</f>
        <v>0</v>
      </c>
      <c r="E6" s="1027">
        <f>'Conta explotación'!H8</f>
        <v>0</v>
      </c>
      <c r="F6" s="1027">
        <f>'Conta explotación'!I8</f>
        <v>0</v>
      </c>
      <c r="G6" s="1027">
        <f>'Conta explotación'!J8</f>
        <v>0</v>
      </c>
      <c r="H6" s="1027">
        <f>'Conta explotación'!K8</f>
        <v>0</v>
      </c>
      <c r="I6" s="1027">
        <f>'Conta explotación'!L8</f>
        <v>0</v>
      </c>
      <c r="J6" s="1027">
        <f>'Conta explotación'!M8</f>
        <v>0</v>
      </c>
      <c r="K6" s="1027">
        <f>'Conta explotación'!N8</f>
        <v>0</v>
      </c>
      <c r="L6" s="1027">
        <f>'Conta explotación'!O8</f>
        <v>0</v>
      </c>
      <c r="M6" s="1027">
        <f>'Conta explotación'!P8</f>
        <v>0</v>
      </c>
      <c r="N6" s="1027">
        <f>'Conta explotación'!Q8</f>
        <v>0</v>
      </c>
      <c r="O6" s="1027">
        <f>'Conta explotación'!R8</f>
        <v>0</v>
      </c>
      <c r="P6" s="1027">
        <f>'Conta explotación'!S8</f>
        <v>0</v>
      </c>
      <c r="Q6" s="1027">
        <f>'Conta explotación'!T8</f>
        <v>0</v>
      </c>
      <c r="R6" s="1027">
        <f>'Conta explotación'!U8</f>
        <v>0</v>
      </c>
      <c r="S6" s="1027">
        <f>'Conta explotación'!V8</f>
        <v>0</v>
      </c>
      <c r="T6" s="1027">
        <f>'Conta explotación'!W8</f>
        <v>0</v>
      </c>
      <c r="U6" s="1027">
        <f>'Conta explotación'!X8</f>
        <v>0</v>
      </c>
      <c r="V6" s="1027">
        <f>'Conta explotación'!Y8</f>
        <v>0</v>
      </c>
      <c r="W6" s="1027">
        <f>'Conta explotación'!Z8</f>
        <v>0</v>
      </c>
      <c r="X6" s="1027">
        <f>'Conta explotación'!AA8</f>
        <v>0</v>
      </c>
      <c r="Y6" s="1027">
        <f>'Conta explotación'!AB8</f>
        <v>0</v>
      </c>
      <c r="Z6" s="1027">
        <f>'Conta explotación'!AC8</f>
        <v>0</v>
      </c>
      <c r="AA6" s="1027">
        <f>'Conta explotación'!AD8</f>
        <v>0</v>
      </c>
      <c r="AB6" s="715">
        <f t="shared" si="0"/>
        <v>0</v>
      </c>
    </row>
    <row r="7" spans="1:28" ht="16.5" thickBot="1" x14ac:dyDescent="0.55000000000000004">
      <c r="A7" s="1026" t="s">
        <v>1036</v>
      </c>
      <c r="B7" s="1025">
        <f t="shared" ref="B7:AA7" si="1">SUM(B4:B6)</f>
        <v>0</v>
      </c>
      <c r="C7" s="1024">
        <f t="shared" si="1"/>
        <v>6699</v>
      </c>
      <c r="D7" s="1023">
        <f t="shared" si="1"/>
        <v>6906.6689999999999</v>
      </c>
      <c r="E7" s="1023">
        <f t="shared" si="1"/>
        <v>7120.7757389999988</v>
      </c>
      <c r="F7" s="1023">
        <f t="shared" si="1"/>
        <v>7341.519786908998</v>
      </c>
      <c r="G7" s="1023">
        <f t="shared" si="1"/>
        <v>7569.1069003031753</v>
      </c>
      <c r="H7" s="1023">
        <f t="shared" si="1"/>
        <v>7803.7492142125739</v>
      </c>
      <c r="I7" s="1023">
        <f t="shared" si="1"/>
        <v>8045.6654398531628</v>
      </c>
      <c r="J7" s="1023">
        <f t="shared" si="1"/>
        <v>8295.0810684886092</v>
      </c>
      <c r="K7" s="1023">
        <f t="shared" si="1"/>
        <v>8552.2285816117565</v>
      </c>
      <c r="L7" s="1023">
        <f t="shared" si="1"/>
        <v>8817.3476676417195</v>
      </c>
      <c r="M7" s="1023">
        <f t="shared" si="1"/>
        <v>9090.6854453386131</v>
      </c>
      <c r="N7" s="1023">
        <f t="shared" si="1"/>
        <v>9372.4966941441089</v>
      </c>
      <c r="O7" s="1023">
        <f t="shared" si="1"/>
        <v>9663.0440916625757</v>
      </c>
      <c r="P7" s="1023">
        <f t="shared" si="1"/>
        <v>9962.5984585041151</v>
      </c>
      <c r="Q7" s="1023">
        <f t="shared" si="1"/>
        <v>10271.439010717741</v>
      </c>
      <c r="R7" s="1023">
        <f t="shared" si="1"/>
        <v>10589.853620049989</v>
      </c>
      <c r="S7" s="1023">
        <f t="shared" si="1"/>
        <v>10918.139082271538</v>
      </c>
      <c r="T7" s="1023">
        <f t="shared" si="1"/>
        <v>11256.601393821955</v>
      </c>
      <c r="U7" s="1023">
        <f t="shared" si="1"/>
        <v>11605.556037030434</v>
      </c>
      <c r="V7" s="1023">
        <f t="shared" si="1"/>
        <v>11965.328274178377</v>
      </c>
      <c r="W7" s="1023">
        <f t="shared" si="1"/>
        <v>12336.253450677905</v>
      </c>
      <c r="X7" s="1023">
        <f t="shared" si="1"/>
        <v>12718.677307648919</v>
      </c>
      <c r="Y7" s="1023">
        <f t="shared" si="1"/>
        <v>13112.956304186035</v>
      </c>
      <c r="Z7" s="1023">
        <f t="shared" si="1"/>
        <v>13519.4579496158</v>
      </c>
      <c r="AA7" s="1023">
        <f t="shared" si="1"/>
        <v>13938.561146053889</v>
      </c>
      <c r="AB7" s="1022">
        <f t="shared" si="0"/>
        <v>247472.79166392199</v>
      </c>
    </row>
    <row r="8" spans="1:28" x14ac:dyDescent="0.35">
      <c r="A8" s="640" t="s">
        <v>1035</v>
      </c>
      <c r="B8" s="1021">
        <f>-'Hipóteses xerais (2)'!$F$35</f>
        <v>-70150</v>
      </c>
      <c r="C8" s="1020"/>
      <c r="D8" s="1019"/>
      <c r="E8" s="1019"/>
      <c r="F8" s="1019"/>
      <c r="G8" s="1019"/>
      <c r="H8" s="1019"/>
      <c r="I8" s="1019"/>
      <c r="J8" s="1019"/>
      <c r="K8" s="1019"/>
      <c r="L8" s="1019"/>
      <c r="M8" s="1019"/>
      <c r="N8" s="1019"/>
      <c r="O8" s="1019"/>
      <c r="P8" s="1019"/>
      <c r="Q8" s="1019"/>
      <c r="R8" s="1019"/>
      <c r="S8" s="1019"/>
      <c r="T8" s="1019"/>
      <c r="U8" s="1019"/>
      <c r="V8" s="1019"/>
      <c r="W8" s="1019"/>
      <c r="X8" s="1019"/>
      <c r="Y8" s="1019"/>
      <c r="Z8" s="1019"/>
      <c r="AA8" s="1019"/>
      <c r="AB8" s="985">
        <f t="shared" si="0"/>
        <v>-70150</v>
      </c>
    </row>
    <row r="9" spans="1:28" ht="15" thickBot="1" x14ac:dyDescent="0.4">
      <c r="A9" s="634" t="s">
        <v>1034</v>
      </c>
      <c r="B9" s="1021">
        <v>0</v>
      </c>
      <c r="C9" s="1020">
        <f>-'Conta explotación'!F13</f>
        <v>-2470.4699999999998</v>
      </c>
      <c r="D9" s="1019">
        <f>-'Conta explotación'!G13</f>
        <v>-2460</v>
      </c>
      <c r="E9" s="1019">
        <f>-'Conta explotación'!H13</f>
        <v>-2574.5599999999995</v>
      </c>
      <c r="F9" s="1019">
        <f>-'Conta explotación'!I13</f>
        <v>-2692.7859200000003</v>
      </c>
      <c r="G9" s="1019">
        <f>-'Conta explotación'!J13</f>
        <v>-2814.7950694400001</v>
      </c>
      <c r="H9" s="1019">
        <f>-'Conta explotación'!K13</f>
        <v>-2940.7085116620801</v>
      </c>
      <c r="I9" s="1019">
        <f>-'Conta explotación'!L13</f>
        <v>-3070.6511840352669</v>
      </c>
      <c r="J9" s="1019">
        <f>-'Conta explotación'!M13</f>
        <v>-3204.7520219243952</v>
      </c>
      <c r="K9" s="1019">
        <f>-'Conta explotación'!N13</f>
        <v>-3343.1440866259768</v>
      </c>
      <c r="L9" s="1019">
        <f>-'Conta explotación'!O13</f>
        <v>-3485.9646973980075</v>
      </c>
      <c r="M9" s="1019">
        <f>-'Conta explotación'!P13</f>
        <v>-3633.3555677147442</v>
      </c>
      <c r="N9" s="1019">
        <f>-'Conta explotación'!Q13</f>
        <v>-3785.4629458816171</v>
      </c>
      <c r="O9" s="1019">
        <f>-'Conta explotación'!R13</f>
        <v>-3942.4377601498277</v>
      </c>
      <c r="P9" s="1019">
        <f>-'Conta explotación'!S13</f>
        <v>-4104.4357684746237</v>
      </c>
      <c r="Q9" s="1019">
        <f>-'Conta explotación'!T13</f>
        <v>-4271.6177130658116</v>
      </c>
      <c r="R9" s="1019">
        <f>-'Conta explotación'!U13</f>
        <v>-4444.1494798839176</v>
      </c>
      <c r="S9" s="1019">
        <f>-'Conta explotación'!V13</f>
        <v>-4622.2022632402031</v>
      </c>
      <c r="T9" s="1019">
        <f>-'Conta explotación'!W13</f>
        <v>-4805.9527356638891</v>
      </c>
      <c r="U9" s="1019">
        <f>-'Conta explotación'!X13</f>
        <v>-4995.5832232051353</v>
      </c>
      <c r="V9" s="1019">
        <f>-'Conta explotación'!Y13</f>
        <v>-5191.2818863476987</v>
      </c>
      <c r="W9" s="1019">
        <f>-'Conta explotación'!Z13</f>
        <v>-5393.242906710826</v>
      </c>
      <c r="X9" s="1019">
        <f>-'Conta explotación'!AA13</f>
        <v>-5601.6666797255721</v>
      </c>
      <c r="Y9" s="1019">
        <f>-'Conta explotación'!AB13</f>
        <v>-5816.7600134767908</v>
      </c>
      <c r="Z9" s="1019">
        <f>-'Conta explotación'!AC13</f>
        <v>-6038.7363339080466</v>
      </c>
      <c r="AA9" s="1019">
        <f>-'Conta explotación'!AD13</f>
        <v>-6267.8158965931061</v>
      </c>
      <c r="AB9" s="985">
        <f t="shared" si="0"/>
        <v>-101972.53266512754</v>
      </c>
    </row>
    <row r="10" spans="1:28" ht="16.5" thickBot="1" x14ac:dyDescent="0.4">
      <c r="A10" s="611" t="s">
        <v>1033</v>
      </c>
      <c r="B10" s="1018">
        <f t="shared" ref="B10:AA10" si="2">SUM(B8:B9)</f>
        <v>-70150</v>
      </c>
      <c r="C10" s="1017">
        <f t="shared" si="2"/>
        <v>-2470.4699999999998</v>
      </c>
      <c r="D10" s="1016">
        <f t="shared" si="2"/>
        <v>-2460</v>
      </c>
      <c r="E10" s="1016">
        <f t="shared" si="2"/>
        <v>-2574.5599999999995</v>
      </c>
      <c r="F10" s="1016">
        <f t="shared" si="2"/>
        <v>-2692.7859200000003</v>
      </c>
      <c r="G10" s="1016">
        <f t="shared" si="2"/>
        <v>-2814.7950694400001</v>
      </c>
      <c r="H10" s="1016">
        <f t="shared" si="2"/>
        <v>-2940.7085116620801</v>
      </c>
      <c r="I10" s="1016">
        <f t="shared" si="2"/>
        <v>-3070.6511840352669</v>
      </c>
      <c r="J10" s="1016">
        <f t="shared" si="2"/>
        <v>-3204.7520219243952</v>
      </c>
      <c r="K10" s="1016">
        <f t="shared" si="2"/>
        <v>-3343.1440866259768</v>
      </c>
      <c r="L10" s="1016">
        <f t="shared" si="2"/>
        <v>-3485.9646973980075</v>
      </c>
      <c r="M10" s="1016">
        <f t="shared" si="2"/>
        <v>-3633.3555677147442</v>
      </c>
      <c r="N10" s="1016">
        <f t="shared" si="2"/>
        <v>-3785.4629458816171</v>
      </c>
      <c r="O10" s="1016">
        <f t="shared" si="2"/>
        <v>-3942.4377601498277</v>
      </c>
      <c r="P10" s="1016">
        <f t="shared" si="2"/>
        <v>-4104.4357684746237</v>
      </c>
      <c r="Q10" s="1016">
        <f t="shared" si="2"/>
        <v>-4271.6177130658116</v>
      </c>
      <c r="R10" s="1016">
        <f t="shared" si="2"/>
        <v>-4444.1494798839176</v>
      </c>
      <c r="S10" s="1016">
        <f t="shared" si="2"/>
        <v>-4622.2022632402031</v>
      </c>
      <c r="T10" s="1016">
        <f t="shared" si="2"/>
        <v>-4805.9527356638891</v>
      </c>
      <c r="U10" s="1016">
        <f t="shared" si="2"/>
        <v>-4995.5832232051353</v>
      </c>
      <c r="V10" s="1016">
        <f t="shared" si="2"/>
        <v>-5191.2818863476987</v>
      </c>
      <c r="W10" s="1016">
        <f t="shared" si="2"/>
        <v>-5393.242906710826</v>
      </c>
      <c r="X10" s="1016">
        <f t="shared" si="2"/>
        <v>-5601.6666797255721</v>
      </c>
      <c r="Y10" s="1016">
        <f t="shared" si="2"/>
        <v>-5816.7600134767908</v>
      </c>
      <c r="Z10" s="1016">
        <f t="shared" si="2"/>
        <v>-6038.7363339080466</v>
      </c>
      <c r="AA10" s="1016">
        <f t="shared" si="2"/>
        <v>-6267.8158965931061</v>
      </c>
      <c r="AB10" s="1015">
        <f t="shared" si="0"/>
        <v>-172122.53266512754</v>
      </c>
    </row>
    <row r="11" spans="1:28" ht="15" thickBot="1" x14ac:dyDescent="0.4">
      <c r="AB11" s="1014"/>
    </row>
    <row r="12" spans="1:28" ht="17" thickTop="1" thickBot="1" x14ac:dyDescent="0.55000000000000004">
      <c r="A12" s="645" t="s">
        <v>1032</v>
      </c>
      <c r="B12" s="1013">
        <f t="shared" ref="B12:AA12" si="3">B7+B10</f>
        <v>-70150</v>
      </c>
      <c r="C12" s="1012">
        <f t="shared" si="3"/>
        <v>4228.5300000000007</v>
      </c>
      <c r="D12" s="651">
        <f t="shared" si="3"/>
        <v>4446.6689999999999</v>
      </c>
      <c r="E12" s="651">
        <f t="shared" si="3"/>
        <v>4546.2157389999993</v>
      </c>
      <c r="F12" s="651">
        <f t="shared" si="3"/>
        <v>4648.7338669089977</v>
      </c>
      <c r="G12" s="651">
        <f t="shared" si="3"/>
        <v>4754.3118308631747</v>
      </c>
      <c r="H12" s="651">
        <f t="shared" si="3"/>
        <v>4863.0407025504937</v>
      </c>
      <c r="I12" s="651">
        <f t="shared" si="3"/>
        <v>4975.0142558178959</v>
      </c>
      <c r="J12" s="651">
        <f t="shared" si="3"/>
        <v>5090.329046564214</v>
      </c>
      <c r="K12" s="651">
        <f t="shared" si="3"/>
        <v>5209.0844949857801</v>
      </c>
      <c r="L12" s="651">
        <f t="shared" si="3"/>
        <v>5331.3829702437124</v>
      </c>
      <c r="M12" s="651">
        <f t="shared" si="3"/>
        <v>5457.3298776238689</v>
      </c>
      <c r="N12" s="651">
        <f t="shared" si="3"/>
        <v>5587.0337482624918</v>
      </c>
      <c r="O12" s="651">
        <f t="shared" si="3"/>
        <v>5720.6063315127485</v>
      </c>
      <c r="P12" s="651">
        <f t="shared" si="3"/>
        <v>5858.1626900294914</v>
      </c>
      <c r="Q12" s="651">
        <f t="shared" si="3"/>
        <v>5999.8212976519289</v>
      </c>
      <c r="R12" s="651">
        <f t="shared" si="3"/>
        <v>6145.7041401660717</v>
      </c>
      <c r="S12" s="651">
        <f t="shared" si="3"/>
        <v>6295.9368190313353</v>
      </c>
      <c r="T12" s="651">
        <f t="shared" si="3"/>
        <v>6450.6486581580657</v>
      </c>
      <c r="U12" s="651">
        <f t="shared" si="3"/>
        <v>6609.9728138252985</v>
      </c>
      <c r="V12" s="651">
        <f t="shared" si="3"/>
        <v>6774.0463878306782</v>
      </c>
      <c r="W12" s="651">
        <f t="shared" si="3"/>
        <v>6943.0105439670788</v>
      </c>
      <c r="X12" s="651">
        <f t="shared" si="3"/>
        <v>7117.0106279233469</v>
      </c>
      <c r="Y12" s="651">
        <f t="shared" si="3"/>
        <v>7296.1962907092438</v>
      </c>
      <c r="Z12" s="651">
        <f t="shared" si="3"/>
        <v>7480.7216157077537</v>
      </c>
      <c r="AA12" s="651">
        <f t="shared" si="3"/>
        <v>7670.7452494607833</v>
      </c>
      <c r="AB12" s="1011">
        <f>SUM(B12:AA12)</f>
        <v>75350.258998794452</v>
      </c>
    </row>
    <row r="13" spans="1:28" ht="15" thickBot="1" x14ac:dyDescent="0.4">
      <c r="A13" s="8" t="s">
        <v>1031</v>
      </c>
      <c r="B13" s="150">
        <f>B12/((1+'Hipóteses xerais (2)'!$C$33)^B$2)</f>
        <v>-70150</v>
      </c>
      <c r="C13" s="150">
        <f>C12/((1+'Hipóteses xerais (2)'!$C$33)^C$2)</f>
        <v>4095.2302551934536</v>
      </c>
      <c r="D13" s="150">
        <f>D12/((1+'Hipóteses xerais (2)'!$C$33)^D$2)</f>
        <v>4170.7352319921747</v>
      </c>
      <c r="E13" s="150">
        <f>E12/((1+'Hipóteses xerais (2)'!$C$33)^E$2)</f>
        <v>4129.6834960507049</v>
      </c>
      <c r="F13" s="150">
        <f>F12/((1+'Hipóteses xerais (2)'!$C$33)^F$2)</f>
        <v>4089.6893454553779</v>
      </c>
      <c r="G13" s="150">
        <f>G12/((1+'Hipóteses xerais (2)'!$C$33)^G$2)</f>
        <v>4050.7198497351342</v>
      </c>
      <c r="H13" s="150">
        <f>H12/((1+'Hipóteses xerais (2)'!$C$33)^H$2)</f>
        <v>4012.7431158735294</v>
      </c>
      <c r="I13" s="150">
        <f>I12/((1+'Hipóteses xerais (2)'!$C$33)^I$2)</f>
        <v>3975.7282556050882</v>
      </c>
      <c r="J13" s="150">
        <f>J12/((1+'Hipóteses xerais (2)'!$C$33)^J$2)</f>
        <v>3939.6453537426328</v>
      </c>
      <c r="K13" s="150">
        <f>K12/((1+'Hipóteses xerais (2)'!$C$33)^K$2)</f>
        <v>3904.4654375030295</v>
      </c>
      <c r="L13" s="150">
        <f>L12/((1+'Hipóteses xerais (2)'!$C$33)^L$2)</f>
        <v>3870.1604467999155</v>
      </c>
      <c r="M13" s="150">
        <f>M12/((1+'Hipóteses xerais (2)'!$C$33)^M$2)</f>
        <v>3836.7032054729152</v>
      </c>
      <c r="N13" s="150">
        <f>N12/((1+'Hipóteses xerais (2)'!$C$33)^N$2)</f>
        <v>3804.0673934238193</v>
      </c>
      <c r="O13" s="150">
        <f>O12/((1+'Hipóteses xerais (2)'!$C$33)^O$2)</f>
        <v>3772.2275196311434</v>
      </c>
      <c r="P13" s="150">
        <f>P12/((1+'Hipóteses xerais (2)'!$C$33)^P$2)</f>
        <v>3741.1588960153572</v>
      </c>
      <c r="Q13" s="150">
        <f>Q12/((1+'Hipóteses xerais (2)'!$C$33)^Q$2)</f>
        <v>3710.8376121280039</v>
      </c>
      <c r="R13" s="150">
        <f>R12/((1+'Hipóteses xerais (2)'!$C$33)^R$2)</f>
        <v>3681.2405106386991</v>
      </c>
      <c r="S13" s="150">
        <f>S12/((1+'Hipóteses xerais (2)'!$C$33)^S$2)</f>
        <v>3652.3451635948772</v>
      </c>
      <c r="T13" s="150">
        <f>T12/((1+'Hipóteses xerais (2)'!$C$33)^T$2)</f>
        <v>3624.1298494299267</v>
      </c>
      <c r="U13" s="150">
        <f>U12/((1+'Hipóteses xerais (2)'!$C$33)^U$2)</f>
        <v>3596.5735306961087</v>
      </c>
      <c r="V13" s="150">
        <f>V12/((1+'Hipóteses xerais (2)'!$C$33)^V$2)</f>
        <v>3569.655832499433</v>
      </c>
      <c r="W13" s="150">
        <f>W12/((1+'Hipóteses xerais (2)'!$C$33)^W$2)</f>
        <v>3543.3570216143271</v>
      </c>
      <c r="X13" s="150">
        <f>X12/((1+'Hipóteses xerais (2)'!$C$33)^X$2)</f>
        <v>3517.657986256721</v>
      </c>
      <c r="Y13" s="150">
        <f>Y12/((1+'Hipóteses xerais (2)'!$C$33)^Y$2)</f>
        <v>3492.5402164947272</v>
      </c>
      <c r="Z13" s="150">
        <f>Z12/((1+'Hipóteses xerais (2)'!$C$33)^Z$2)</f>
        <v>3467.9857852768851</v>
      </c>
      <c r="AA13" s="150">
        <f>AA12/((1+'Hipóteses xerais (2)'!$C$33)^AA$2)</f>
        <v>3443.9773300584375</v>
      </c>
      <c r="AB13" s="1010">
        <f>SUM(B13:AA13)</f>
        <v>24543.258641182427</v>
      </c>
    </row>
    <row r="14" spans="1:28" ht="15" thickTop="1" x14ac:dyDescent="0.35"/>
    <row r="15" spans="1:28" ht="15" thickBot="1" x14ac:dyDescent="0.4"/>
    <row r="16" spans="1:28" ht="15.5" thickTop="1" thickBot="1" x14ac:dyDescent="0.4">
      <c r="A16" s="947" t="s">
        <v>1030</v>
      </c>
      <c r="B16" s="952">
        <f>IRR(B12:AA12)</f>
        <v>5.8845201157594174E-2</v>
      </c>
    </row>
    <row r="17" spans="1:2" ht="15.5" thickTop="1" thickBot="1" x14ac:dyDescent="0.4">
      <c r="A17" s="947" t="s">
        <v>988</v>
      </c>
      <c r="B17" s="952">
        <f>MIRR(B12:AA12,'Hipóteses xerais (2)'!$C$33,'Hipóteses xerais (2)'!$C$33)</f>
        <v>4.5015534666871249E-2</v>
      </c>
    </row>
    <row r="18" spans="1:2" ht="15.5" thickTop="1" thickBot="1" x14ac:dyDescent="0.4">
      <c r="A18" s="947" t="s">
        <v>1029</v>
      </c>
      <c r="B18" s="948">
        <f>NPV(5%,B12:AA12)</f>
        <v>6766.8236975102991</v>
      </c>
    </row>
    <row r="19" spans="1:2" ht="15.5" thickTop="1" thickBot="1" x14ac:dyDescent="0.4">
      <c r="A19" s="947" t="s">
        <v>986</v>
      </c>
      <c r="B19" s="689">
        <f>-$B$13/AVERAGE(C13:AA13)</f>
        <v>18.520325788400822</v>
      </c>
    </row>
    <row r="20" spans="1:2" ht="15" thickTop="1" x14ac:dyDescent="0.35">
      <c r="A20" s="945" t="s">
        <v>984</v>
      </c>
      <c r="B20" s="1009">
        <f>'Hipóteses xerais (2)'!$F$35</f>
        <v>70150</v>
      </c>
    </row>
    <row r="21" spans="1:2" x14ac:dyDescent="0.35">
      <c r="A21" s="945" t="s">
        <v>1028</v>
      </c>
      <c r="B21" s="944">
        <f>IF('Hipóteses xerais (2)'!$E$64="Si",'Hipóteses xerais (2)'!$C$62,0)</f>
        <v>42000</v>
      </c>
    </row>
    <row r="22" spans="1:2" ht="15" thickBot="1" x14ac:dyDescent="0.4">
      <c r="A22" s="943" t="s">
        <v>1027</v>
      </c>
      <c r="B22" s="942">
        <f>'x Financiamento'!$E$11</f>
        <v>0</v>
      </c>
    </row>
    <row r="23" spans="1:2" ht="15.5" thickTop="1" thickBot="1" x14ac:dyDescent="0.4">
      <c r="A23" s="692" t="s">
        <v>981</v>
      </c>
      <c r="B23" s="739">
        <f>SUM(B20:B22)</f>
        <v>112150</v>
      </c>
    </row>
    <row r="24" spans="1:2" ht="15.5" thickTop="1" thickBot="1" x14ac:dyDescent="0.4">
      <c r="A24" s="692" t="s">
        <v>980</v>
      </c>
      <c r="B24" s="739">
        <f>'Hipóteses xerais (2)'!$C$91</f>
        <v>84150</v>
      </c>
    </row>
    <row r="25" spans="1:2" ht="15" thickTop="1" x14ac:dyDescent="0.35">
      <c r="A25" s="941" t="s">
        <v>979</v>
      </c>
      <c r="B25" s="695">
        <f>'Hipóteses xerais (2)'!$C$19</f>
        <v>84000</v>
      </c>
    </row>
    <row r="26" spans="1:2" ht="15" thickBot="1" x14ac:dyDescent="0.4">
      <c r="A26" s="940" t="s">
        <v>978</v>
      </c>
      <c r="B26" s="939">
        <f>'Hipóteses xerais (2)'!$C$74</f>
        <v>150</v>
      </c>
    </row>
    <row r="27" spans="1:2" ht="15" thickTop="1" x14ac:dyDescent="0.3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8C9C9-D7AE-4543-82D7-579AA589E7E8}">
  <dimension ref="A1:K15"/>
  <sheetViews>
    <sheetView workbookViewId="0">
      <selection activeCell="F2" sqref="F2"/>
    </sheetView>
  </sheetViews>
  <sheetFormatPr baseColWidth="10" defaultColWidth="8.81640625" defaultRowHeight="14.5" x14ac:dyDescent="0.35"/>
  <cols>
    <col min="1" max="1" width="36.453125" bestFit="1" customWidth="1"/>
    <col min="2" max="2" width="13.453125" bestFit="1" customWidth="1"/>
    <col min="3" max="3" width="14.54296875" bestFit="1" customWidth="1"/>
    <col min="4" max="4" width="22" customWidth="1"/>
    <col min="5" max="5" width="16.81640625" customWidth="1"/>
  </cols>
  <sheetData>
    <row r="1" spans="1:11" ht="15" thickBot="1" x14ac:dyDescent="0.4"/>
    <row r="2" spans="1:11" x14ac:dyDescent="0.35">
      <c r="A2" s="786" t="s">
        <v>792</v>
      </c>
      <c r="B2" s="1091">
        <f>'Hipóteses xerais (2)'!$F$39</f>
        <v>25</v>
      </c>
      <c r="D2" s="1090" t="s">
        <v>1072</v>
      </c>
      <c r="E2" s="1089"/>
      <c r="F2" s="1089"/>
      <c r="G2" s="1089"/>
      <c r="H2" s="1089"/>
      <c r="I2" s="1089"/>
      <c r="J2" s="1089"/>
      <c r="K2" s="1088"/>
    </row>
    <row r="3" spans="1:11" x14ac:dyDescent="0.35">
      <c r="A3" s="779" t="s">
        <v>1071</v>
      </c>
      <c r="B3" s="1087">
        <f>'Hipóteses xerais (2)'!$F$35</f>
        <v>70150</v>
      </c>
      <c r="D3" s="662" t="s">
        <v>1070</v>
      </c>
      <c r="E3" s="661"/>
      <c r="F3" s="661"/>
      <c r="G3" s="661"/>
      <c r="H3" s="661"/>
      <c r="I3" s="661"/>
      <c r="J3" s="661"/>
      <c r="K3" s="827"/>
    </row>
    <row r="4" spans="1:11" ht="15" thickBot="1" x14ac:dyDescent="0.4">
      <c r="A4" s="919" t="s">
        <v>1069</v>
      </c>
      <c r="B4" s="1086">
        <f>B3/B2</f>
        <v>2806</v>
      </c>
    </row>
    <row r="5" spans="1:11" ht="15" thickBot="1" x14ac:dyDescent="0.4">
      <c r="A5" s="606" t="s">
        <v>1068</v>
      </c>
      <c r="B5" s="1085">
        <f>B4/B3</f>
        <v>0.04</v>
      </c>
    </row>
    <row r="6" spans="1:11" ht="15" thickBot="1" x14ac:dyDescent="0.4"/>
    <row r="7" spans="1:11" s="10" customFormat="1" ht="29.5" thickBot="1" x14ac:dyDescent="0.4">
      <c r="B7" s="793" t="s">
        <v>1067</v>
      </c>
      <c r="C7" s="1084" t="s">
        <v>1066</v>
      </c>
      <c r="D7" s="1083" t="s">
        <v>1065</v>
      </c>
      <c r="E7" s="1082" t="s">
        <v>1064</v>
      </c>
    </row>
    <row r="8" spans="1:11" x14ac:dyDescent="0.35">
      <c r="A8" s="621" t="s">
        <v>1063</v>
      </c>
      <c r="B8" s="1081">
        <f>'Estim. Ingresos'!$C$2</f>
        <v>89.32</v>
      </c>
      <c r="C8" s="1080">
        <f>'Estim. Ingresos'!$D$29</f>
        <v>6699</v>
      </c>
      <c r="D8" s="1079">
        <f t="shared" ref="D8:E11" si="0">$B$5*B8</f>
        <v>3.5728</v>
      </c>
      <c r="E8" s="1078">
        <f t="shared" si="0"/>
        <v>267.95999999999998</v>
      </c>
    </row>
    <row r="9" spans="1:11" x14ac:dyDescent="0.35">
      <c r="A9" s="1077" t="s">
        <v>1062</v>
      </c>
      <c r="B9" s="1075">
        <f>'Estim. Ingresos'!$C$18</f>
        <v>44.66</v>
      </c>
      <c r="C9" s="1074">
        <f>'Estim. Ingresos'!$D$26</f>
        <v>4466</v>
      </c>
      <c r="D9" s="1073">
        <f t="shared" si="0"/>
        <v>1.7864</v>
      </c>
      <c r="E9" s="1072">
        <f t="shared" si="0"/>
        <v>178.64000000000001</v>
      </c>
    </row>
    <row r="10" spans="1:11" ht="29" x14ac:dyDescent="0.35">
      <c r="A10" s="1076" t="s">
        <v>1061</v>
      </c>
      <c r="B10" s="1075">
        <f>'Estim. Ingresos'!$C$19</f>
        <v>44.66</v>
      </c>
      <c r="C10" s="1074">
        <f>'Estim. Ingresos'!$D$27</f>
        <v>2233</v>
      </c>
      <c r="D10" s="1073">
        <f t="shared" si="0"/>
        <v>1.7864</v>
      </c>
      <c r="E10" s="1072">
        <f t="shared" si="0"/>
        <v>89.320000000000007</v>
      </c>
    </row>
    <row r="11" spans="1:11" ht="29.5" thickBot="1" x14ac:dyDescent="0.4">
      <c r="A11" s="1071" t="s">
        <v>1060</v>
      </c>
      <c r="B11" s="1070">
        <f>'Estim. Ingresos'!$C$20</f>
        <v>0</v>
      </c>
      <c r="C11" s="1069">
        <f>'Estim. Ingresos'!$D$28</f>
        <v>0</v>
      </c>
      <c r="D11" s="1068">
        <f t="shared" si="0"/>
        <v>0</v>
      </c>
      <c r="E11" s="1067">
        <f t="shared" si="0"/>
        <v>0</v>
      </c>
    </row>
    <row r="12" spans="1:11" ht="15" thickBot="1" x14ac:dyDescent="0.4"/>
    <row r="13" spans="1:11" ht="15" thickBot="1" x14ac:dyDescent="0.4">
      <c r="A13" s="13" t="s">
        <v>1059</v>
      </c>
      <c r="C13" s="606" t="s">
        <v>1058</v>
      </c>
      <c r="D13" s="604" t="s">
        <v>1057</v>
      </c>
    </row>
    <row r="14" spans="1:11" x14ac:dyDescent="0.35">
      <c r="A14" s="640" t="s">
        <v>1056</v>
      </c>
      <c r="B14" s="1066"/>
      <c r="C14" s="1065">
        <f>'Hipóteses Xerais'!$I$31</f>
        <v>0</v>
      </c>
      <c r="D14" s="878">
        <f>C14*$B$5</f>
        <v>0</v>
      </c>
    </row>
    <row r="15" spans="1:11" ht="15" thickBot="1" x14ac:dyDescent="0.4">
      <c r="A15" s="634" t="s">
        <v>1055</v>
      </c>
      <c r="B15" s="1064"/>
      <c r="C15" s="1063">
        <f>'Hipóteses Xerais'!$I$32</f>
        <v>0</v>
      </c>
      <c r="D15" s="1062">
        <f>C15*$B$5</f>
        <v>0</v>
      </c>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9D82D-5A09-4B8F-AD14-752632EE1472}">
  <dimension ref="A1:AC34"/>
  <sheetViews>
    <sheetView workbookViewId="0">
      <pane xSplit="4" ySplit="11" topLeftCell="E12" activePane="bottomRight" state="frozen"/>
      <selection activeCell="F2" sqref="F2"/>
      <selection pane="topRight" activeCell="F2" sqref="F2"/>
      <selection pane="bottomLeft" activeCell="F2" sqref="F2"/>
      <selection pane="bottomRight" activeCell="F2" sqref="F2"/>
    </sheetView>
  </sheetViews>
  <sheetFormatPr baseColWidth="10" defaultColWidth="11.54296875" defaultRowHeight="14.5" x14ac:dyDescent="0.35"/>
  <cols>
    <col min="1" max="1" width="54.36328125" customWidth="1"/>
    <col min="2" max="2" width="11.81640625" bestFit="1" customWidth="1"/>
    <col min="3" max="25" width="11.54296875" bestFit="1" customWidth="1"/>
    <col min="26" max="26" width="12.81640625" customWidth="1"/>
    <col min="27" max="27" width="16.81640625" bestFit="1" customWidth="1"/>
  </cols>
  <sheetData>
    <row r="1" spans="1:29" ht="15.5" thickTop="1" thickBot="1" x14ac:dyDescent="0.4">
      <c r="B1" s="1128">
        <v>1</v>
      </c>
      <c r="C1" s="1127">
        <v>2</v>
      </c>
      <c r="D1" s="1127">
        <v>3</v>
      </c>
      <c r="E1" s="1127">
        <v>4</v>
      </c>
      <c r="F1" s="1127">
        <v>5</v>
      </c>
      <c r="G1" s="1127">
        <v>6</v>
      </c>
      <c r="H1" s="1127">
        <v>7</v>
      </c>
      <c r="I1" s="1127">
        <v>8</v>
      </c>
      <c r="J1" s="1127">
        <v>9</v>
      </c>
      <c r="K1" s="1127">
        <v>10</v>
      </c>
      <c r="L1" s="1127">
        <v>11</v>
      </c>
      <c r="M1" s="1127">
        <v>12</v>
      </c>
      <c r="N1" s="1127">
        <v>13</v>
      </c>
      <c r="O1" s="1127">
        <v>14</v>
      </c>
      <c r="P1" s="1127">
        <v>15</v>
      </c>
      <c r="Q1" s="1127">
        <v>16</v>
      </c>
      <c r="R1" s="1127">
        <v>17</v>
      </c>
      <c r="S1" s="1127">
        <v>18</v>
      </c>
      <c r="T1" s="1127">
        <v>19</v>
      </c>
      <c r="U1" s="1127">
        <v>20</v>
      </c>
      <c r="V1" s="1127">
        <v>21</v>
      </c>
      <c r="W1" s="1127">
        <v>22</v>
      </c>
      <c r="X1" s="1127">
        <v>23</v>
      </c>
      <c r="Y1" s="1127">
        <v>24</v>
      </c>
      <c r="Z1" s="1127">
        <v>25</v>
      </c>
      <c r="AA1" s="1126" t="s">
        <v>1086</v>
      </c>
    </row>
    <row r="2" spans="1:29" ht="15" thickBot="1" x14ac:dyDescent="0.4">
      <c r="B2" s="1125">
        <v>2025</v>
      </c>
      <c r="C2" s="65">
        <v>2026</v>
      </c>
      <c r="D2" s="65">
        <v>2027</v>
      </c>
      <c r="E2" s="65">
        <v>2028</v>
      </c>
      <c r="F2" s="65">
        <v>2029</v>
      </c>
      <c r="G2" s="65">
        <v>2030</v>
      </c>
      <c r="H2" s="65">
        <v>2031</v>
      </c>
      <c r="I2" s="65">
        <v>2032</v>
      </c>
      <c r="J2" s="65">
        <v>2033</v>
      </c>
      <c r="K2" s="65">
        <v>2034</v>
      </c>
      <c r="L2" s="65">
        <v>2035</v>
      </c>
      <c r="M2" s="65">
        <v>2036</v>
      </c>
      <c r="N2" s="65">
        <v>2037</v>
      </c>
      <c r="O2" s="65">
        <v>2038</v>
      </c>
      <c r="P2" s="65">
        <v>2039</v>
      </c>
      <c r="Q2" s="65">
        <v>2040</v>
      </c>
      <c r="R2" s="65">
        <v>2041</v>
      </c>
      <c r="S2" s="65">
        <v>2042</v>
      </c>
      <c r="T2" s="65">
        <v>2043</v>
      </c>
      <c r="U2" s="65">
        <v>2044</v>
      </c>
      <c r="V2" s="65">
        <v>2045</v>
      </c>
      <c r="W2" s="65">
        <v>2046</v>
      </c>
      <c r="X2" s="65">
        <v>2047</v>
      </c>
      <c r="Y2" s="65">
        <v>2048</v>
      </c>
      <c r="Z2" s="65">
        <v>2049</v>
      </c>
      <c r="AA2" s="1124" t="s">
        <v>1085</v>
      </c>
    </row>
    <row r="3" spans="1:29" x14ac:dyDescent="0.35">
      <c r="A3" s="786" t="s">
        <v>1090</v>
      </c>
      <c r="B3" s="1132">
        <f>'Conta explotación'!F6</f>
        <v>4466</v>
      </c>
      <c r="C3" s="1132">
        <f>'Conta explotación'!G6</f>
        <v>4604.4459999999999</v>
      </c>
      <c r="D3" s="1132">
        <f>'Conta explotación'!H6</f>
        <v>4747.1838259999995</v>
      </c>
      <c r="E3" s="1132">
        <f>'Conta explotación'!I6</f>
        <v>4894.3465246059986</v>
      </c>
      <c r="F3" s="1132">
        <f>'Conta explotación'!J6</f>
        <v>5046.0712668687838</v>
      </c>
      <c r="G3" s="1132">
        <f>'Conta explotación'!K6</f>
        <v>5202.4994761417156</v>
      </c>
      <c r="H3" s="1132">
        <f>'Conta explotación'!L6</f>
        <v>5363.7769599021085</v>
      </c>
      <c r="I3" s="1132">
        <f>'Conta explotación'!M6</f>
        <v>5530.0540456590734</v>
      </c>
      <c r="J3" s="1132">
        <f>'Conta explotación'!N6</f>
        <v>5701.485721074504</v>
      </c>
      <c r="K3" s="1132">
        <f>'Conta explotación'!O6</f>
        <v>5878.231778427813</v>
      </c>
      <c r="L3" s="1132">
        <f>'Conta explotación'!P6</f>
        <v>6060.4569635590751</v>
      </c>
      <c r="M3" s="1132">
        <f>'Conta explotación'!Q6</f>
        <v>6248.3311294294062</v>
      </c>
      <c r="N3" s="1132">
        <f>'Conta explotación'!R6</f>
        <v>6442.0293944417172</v>
      </c>
      <c r="O3" s="1132">
        <f>'Conta explotación'!S6</f>
        <v>6641.7323056694095</v>
      </c>
      <c r="P3" s="1132">
        <f>'Conta explotación'!T6</f>
        <v>6847.6260071451607</v>
      </c>
      <c r="Q3" s="1132">
        <f>'Conta explotación'!U6</f>
        <v>7059.9024133666599</v>
      </c>
      <c r="R3" s="1132">
        <f>'Conta explotación'!V6</f>
        <v>7278.7593881810253</v>
      </c>
      <c r="S3" s="1132">
        <f>'Conta explotación'!W6</f>
        <v>7504.4009292146366</v>
      </c>
      <c r="T3" s="1132">
        <f>'Conta explotación'!X6</f>
        <v>7737.0373580202895</v>
      </c>
      <c r="U3" s="1132">
        <f>'Conta explotación'!Y6</f>
        <v>7976.8855161189176</v>
      </c>
      <c r="V3" s="1132">
        <f>'Conta explotación'!Z6</f>
        <v>8224.1689671186032</v>
      </c>
      <c r="W3" s="1132">
        <f>'Conta explotación'!AA6</f>
        <v>8479.1182050992793</v>
      </c>
      <c r="X3" s="1132">
        <f>'Conta explotación'!AB6</f>
        <v>8741.9708694573565</v>
      </c>
      <c r="Y3" s="1132">
        <f>'Conta explotación'!AC6</f>
        <v>9012.9719664105342</v>
      </c>
      <c r="Z3" s="1132">
        <f>'Conta explotación'!AD6</f>
        <v>9292.3740973692602</v>
      </c>
      <c r="AA3" s="1131">
        <f>SUM(B3:Z3)</f>
        <v>164981.86110928131</v>
      </c>
    </row>
    <row r="4" spans="1:29" x14ac:dyDescent="0.35">
      <c r="A4" s="779" t="s">
        <v>1089</v>
      </c>
      <c r="B4" s="1130">
        <f>'Conta explotación'!F7</f>
        <v>2233</v>
      </c>
      <c r="C4" s="1130">
        <f>'Conta explotación'!G7</f>
        <v>2302.223</v>
      </c>
      <c r="D4" s="1130">
        <f>'Conta explotación'!H7</f>
        <v>2373.5919129999997</v>
      </c>
      <c r="E4" s="1130">
        <f>'Conta explotación'!I7</f>
        <v>2447.1732623029993</v>
      </c>
      <c r="F4" s="1130">
        <f>'Conta explotación'!J7</f>
        <v>2523.0356334343919</v>
      </c>
      <c r="G4" s="1130">
        <f>'Conta explotación'!K7</f>
        <v>2601.2497380708578</v>
      </c>
      <c r="H4" s="1130">
        <f>'Conta explotación'!L7</f>
        <v>2681.8884799510543</v>
      </c>
      <c r="I4" s="1130">
        <f>'Conta explotación'!M7</f>
        <v>2765.0270228295367</v>
      </c>
      <c r="J4" s="1130">
        <f>'Conta explotación'!N7</f>
        <v>2850.742860537252</v>
      </c>
      <c r="K4" s="1130">
        <f>'Conta explotación'!O7</f>
        <v>2939.1158892139065</v>
      </c>
      <c r="L4" s="1130">
        <f>'Conta explotación'!P7</f>
        <v>3030.2284817795376</v>
      </c>
      <c r="M4" s="1130">
        <f>'Conta explotación'!Q7</f>
        <v>3124.1655647147031</v>
      </c>
      <c r="N4" s="1130">
        <f>'Conta explotación'!R7</f>
        <v>3221.0146972208586</v>
      </c>
      <c r="O4" s="1130">
        <f>'Conta explotación'!S7</f>
        <v>3320.8661528347047</v>
      </c>
      <c r="P4" s="1130">
        <f>'Conta explotación'!T7</f>
        <v>3423.8130035725803</v>
      </c>
      <c r="Q4" s="1130">
        <f>'Conta explotación'!U7</f>
        <v>3529.9512066833299</v>
      </c>
      <c r="R4" s="1130">
        <f>'Conta explotación'!V7</f>
        <v>3639.3796940905127</v>
      </c>
      <c r="S4" s="1130">
        <f>'Conta explotación'!W7</f>
        <v>3752.2004646073183</v>
      </c>
      <c r="T4" s="1130">
        <f>'Conta explotación'!X7</f>
        <v>3868.5186790101448</v>
      </c>
      <c r="U4" s="1130">
        <f>'Conta explotación'!Y7</f>
        <v>3988.4427580594588</v>
      </c>
      <c r="V4" s="1130">
        <f>'Conta explotación'!Z7</f>
        <v>4112.0844835593016</v>
      </c>
      <c r="W4" s="1130">
        <f>'Conta explotación'!AA7</f>
        <v>4239.5591025496396</v>
      </c>
      <c r="X4" s="1130">
        <f>'Conta explotación'!AB7</f>
        <v>4370.9854347286782</v>
      </c>
      <c r="Y4" s="1130">
        <f>'Conta explotación'!AC7</f>
        <v>4506.4859832052671</v>
      </c>
      <c r="Z4" s="1130">
        <f>'Conta explotación'!AD7</f>
        <v>4646.1870486846301</v>
      </c>
      <c r="AA4" s="1072">
        <f>SUM(B4:Z4)</f>
        <v>82490.930554640654</v>
      </c>
    </row>
    <row r="5" spans="1:29" x14ac:dyDescent="0.35">
      <c r="A5" s="779" t="s">
        <v>1088</v>
      </c>
      <c r="B5" s="1130">
        <f>'Conta explotación'!F8</f>
        <v>0</v>
      </c>
      <c r="C5" s="1130">
        <f>'Conta explotación'!G8</f>
        <v>0</v>
      </c>
      <c r="D5" s="1130">
        <f>'Conta explotación'!H8</f>
        <v>0</v>
      </c>
      <c r="E5" s="1130">
        <f>'Conta explotación'!I8</f>
        <v>0</v>
      </c>
      <c r="F5" s="1130">
        <f>'Conta explotación'!J8</f>
        <v>0</v>
      </c>
      <c r="G5" s="1130">
        <f>'Conta explotación'!K8</f>
        <v>0</v>
      </c>
      <c r="H5" s="1130">
        <f>'Conta explotación'!L8</f>
        <v>0</v>
      </c>
      <c r="I5" s="1130">
        <f>'Conta explotación'!M8</f>
        <v>0</v>
      </c>
      <c r="J5" s="1130">
        <f>'Conta explotación'!N8</f>
        <v>0</v>
      </c>
      <c r="K5" s="1130">
        <f>'Conta explotación'!O8</f>
        <v>0</v>
      </c>
      <c r="L5" s="1130">
        <f>'Conta explotación'!P8</f>
        <v>0</v>
      </c>
      <c r="M5" s="1130">
        <f>'Conta explotación'!Q8</f>
        <v>0</v>
      </c>
      <c r="N5" s="1130">
        <f>'Conta explotación'!R8</f>
        <v>0</v>
      </c>
      <c r="O5" s="1130">
        <f>'Conta explotación'!S8</f>
        <v>0</v>
      </c>
      <c r="P5" s="1130">
        <f>'Conta explotación'!T8</f>
        <v>0</v>
      </c>
      <c r="Q5" s="1130">
        <f>'Conta explotación'!U8</f>
        <v>0</v>
      </c>
      <c r="R5" s="1130">
        <f>'Conta explotación'!V8</f>
        <v>0</v>
      </c>
      <c r="S5" s="1130">
        <f>'Conta explotación'!W8</f>
        <v>0</v>
      </c>
      <c r="T5" s="1130">
        <f>'Conta explotación'!X8</f>
        <v>0</v>
      </c>
      <c r="U5" s="1130">
        <f>'Conta explotación'!Y8</f>
        <v>0</v>
      </c>
      <c r="V5" s="1130">
        <f>'Conta explotación'!Z8</f>
        <v>0</v>
      </c>
      <c r="W5" s="1130">
        <f>'Conta explotación'!AA8</f>
        <v>0</v>
      </c>
      <c r="X5" s="1130">
        <f>'Conta explotación'!AB8</f>
        <v>0</v>
      </c>
      <c r="Y5" s="1130">
        <f>'Conta explotación'!AC8</f>
        <v>0</v>
      </c>
      <c r="Z5" s="1130">
        <f>'Conta explotación'!AD8</f>
        <v>0</v>
      </c>
      <c r="AA5" s="1072">
        <f>SUM(B5:Z5)</f>
        <v>0</v>
      </c>
    </row>
    <row r="6" spans="1:29" x14ac:dyDescent="0.35">
      <c r="A6" s="779" t="s">
        <v>1056</v>
      </c>
      <c r="B6" s="1130">
        <f>'Datos CE e Socios'!$C$14</f>
        <v>0</v>
      </c>
      <c r="C6" s="1130">
        <f>B6*(1+'Hipóteses xerais (2)'!$C$40)</f>
        <v>0</v>
      </c>
      <c r="D6" s="1130">
        <f>C6*(1+'Hipóteses xerais (2)'!$C$40)</f>
        <v>0</v>
      </c>
      <c r="E6" s="1130">
        <f>D6*(1+'Hipóteses xerais (2)'!$C$40)</f>
        <v>0</v>
      </c>
      <c r="F6" s="1130">
        <f>E6*(1+'Hipóteses xerais (2)'!$C$40)</f>
        <v>0</v>
      </c>
      <c r="G6" s="1130">
        <f>F6*(1+'Hipóteses xerais (2)'!$C$40)</f>
        <v>0</v>
      </c>
      <c r="H6" s="1130">
        <f>G6*(1+'Hipóteses xerais (2)'!$C$40)</f>
        <v>0</v>
      </c>
      <c r="I6" s="1130">
        <f>H6*(1+'Hipóteses xerais (2)'!$C$40)</f>
        <v>0</v>
      </c>
      <c r="J6" s="1130">
        <f>I6*(1+'Hipóteses xerais (2)'!$C$40)</f>
        <v>0</v>
      </c>
      <c r="K6" s="1130">
        <f>J6*(1+'Hipóteses xerais (2)'!$C$40)</f>
        <v>0</v>
      </c>
      <c r="L6" s="1130">
        <f>K6*(1+'Hipóteses xerais (2)'!$C$40)</f>
        <v>0</v>
      </c>
      <c r="M6" s="1130">
        <f>L6*(1+'Hipóteses xerais (2)'!$C$40)</f>
        <v>0</v>
      </c>
      <c r="N6" s="1130">
        <f>M6*(1+'Hipóteses xerais (2)'!$C$40)</f>
        <v>0</v>
      </c>
      <c r="O6" s="1130">
        <f>N6*(1+'Hipóteses xerais (2)'!$C$40)</f>
        <v>0</v>
      </c>
      <c r="P6" s="1130">
        <f>O6*(1+'Hipóteses xerais (2)'!$C$40)</f>
        <v>0</v>
      </c>
      <c r="Q6" s="1130">
        <f>P6*(1+'Hipóteses xerais (2)'!$C$40)</f>
        <v>0</v>
      </c>
      <c r="R6" s="1130">
        <f>Q6*(1+'Hipóteses xerais (2)'!$C$40)</f>
        <v>0</v>
      </c>
      <c r="S6" s="1130">
        <f>R6*(1+'Hipóteses xerais (2)'!$C$40)</f>
        <v>0</v>
      </c>
      <c r="T6" s="1130">
        <f>S6*(1+'Hipóteses xerais (2)'!$C$40)</f>
        <v>0</v>
      </c>
      <c r="U6" s="1130">
        <f>T6*(1+'Hipóteses xerais (2)'!$C$40)</f>
        <v>0</v>
      </c>
      <c r="V6" s="1130">
        <f>U6*(1+'Hipóteses xerais (2)'!$C$40)</f>
        <v>0</v>
      </c>
      <c r="W6" s="1130">
        <f>V6*(1+'Hipóteses xerais (2)'!$C$40)</f>
        <v>0</v>
      </c>
      <c r="X6" s="1130">
        <f>W6*(1+'Hipóteses xerais (2)'!$C$40)</f>
        <v>0</v>
      </c>
      <c r="Y6" s="1130">
        <f>X6*(1+'Hipóteses xerais (2)'!$C$40)</f>
        <v>0</v>
      </c>
      <c r="Z6" s="1130">
        <f>Y6*(1+'Hipóteses xerais (2)'!$C$40)</f>
        <v>0</v>
      </c>
      <c r="AA6" s="1072">
        <f>SUM(B6:Z6)</f>
        <v>0</v>
      </c>
    </row>
    <row r="7" spans="1:29" ht="15" thickBot="1" x14ac:dyDescent="0.4">
      <c r="A7" s="919" t="s">
        <v>1055</v>
      </c>
      <c r="B7" s="1069">
        <f>'Datos CE e Socios'!$C$15</f>
        <v>0</v>
      </c>
      <c r="C7" s="1069">
        <f>B7*(1+'Hipóteses xerais (2)'!$C$40)</f>
        <v>0</v>
      </c>
      <c r="D7" s="1069">
        <f>C7*(1+'Hipóteses xerais (2)'!$C$40)</f>
        <v>0</v>
      </c>
      <c r="E7" s="1069">
        <f>D7*(1+'Hipóteses xerais (2)'!$C$40)</f>
        <v>0</v>
      </c>
      <c r="F7" s="1069">
        <f>E7*(1+'Hipóteses xerais (2)'!$C$40)</f>
        <v>0</v>
      </c>
      <c r="G7" s="1069">
        <f>F7*(1+'Hipóteses xerais (2)'!$C$40)</f>
        <v>0</v>
      </c>
      <c r="H7" s="1069">
        <f>G7*(1+'Hipóteses xerais (2)'!$C$40)</f>
        <v>0</v>
      </c>
      <c r="I7" s="1069">
        <f>H7*(1+'Hipóteses xerais (2)'!$C$40)</f>
        <v>0</v>
      </c>
      <c r="J7" s="1069">
        <f>I7*(1+'Hipóteses xerais (2)'!$C$40)</f>
        <v>0</v>
      </c>
      <c r="K7" s="1069">
        <f>J7*(1+'Hipóteses xerais (2)'!$C$40)</f>
        <v>0</v>
      </c>
      <c r="L7" s="1069">
        <f>K7*(1+'Hipóteses xerais (2)'!$C$40)</f>
        <v>0</v>
      </c>
      <c r="M7" s="1069">
        <f>L7*(1+'Hipóteses xerais (2)'!$C$40)</f>
        <v>0</v>
      </c>
      <c r="N7" s="1069">
        <f>M7*(1+'Hipóteses xerais (2)'!$C$40)</f>
        <v>0</v>
      </c>
      <c r="O7" s="1069">
        <f>N7*(1+'Hipóteses xerais (2)'!$C$40)</f>
        <v>0</v>
      </c>
      <c r="P7" s="1069">
        <f>O7*(1+'Hipóteses xerais (2)'!$C$40)</f>
        <v>0</v>
      </c>
      <c r="Q7" s="1069">
        <f>P7*(1+'Hipóteses xerais (2)'!$C$40)</f>
        <v>0</v>
      </c>
      <c r="R7" s="1069">
        <f>Q7*(1+'Hipóteses xerais (2)'!$C$40)</f>
        <v>0</v>
      </c>
      <c r="S7" s="1069">
        <f>R7*(1+'Hipóteses xerais (2)'!$C$40)</f>
        <v>0</v>
      </c>
      <c r="T7" s="1069">
        <f>S7*(1+'Hipóteses xerais (2)'!$C$40)</f>
        <v>0</v>
      </c>
      <c r="U7" s="1069">
        <f>T7*(1+'Hipóteses xerais (2)'!$C$40)</f>
        <v>0</v>
      </c>
      <c r="V7" s="1069">
        <f>U7*(1+'Hipóteses xerais (2)'!$C$40)</f>
        <v>0</v>
      </c>
      <c r="W7" s="1069">
        <f>V7*(1+'Hipóteses xerais (2)'!$C$40)</f>
        <v>0</v>
      </c>
      <c r="X7" s="1069">
        <f>W7*(1+'Hipóteses xerais (2)'!$C$40)</f>
        <v>0</v>
      </c>
      <c r="Y7" s="1069">
        <f>X7*(1+'Hipóteses xerais (2)'!$C$40)</f>
        <v>0</v>
      </c>
      <c r="Z7" s="1069">
        <f>Y7*(1+'Hipóteses xerais (2)'!$C$40)</f>
        <v>0</v>
      </c>
      <c r="AA7" s="1067">
        <f>SUM(B7:Z7)</f>
        <v>0</v>
      </c>
    </row>
    <row r="8" spans="1:29" s="13" customFormat="1" ht="15" thickBot="1" x14ac:dyDescent="0.4">
      <c r="A8" s="606" t="s">
        <v>1087</v>
      </c>
      <c r="B8" s="1113">
        <f t="shared" ref="B8:AA8" si="0">SUM(B3:B7)</f>
        <v>6699</v>
      </c>
      <c r="C8" s="1113">
        <f t="shared" si="0"/>
        <v>6906.6689999999999</v>
      </c>
      <c r="D8" s="1113">
        <f t="shared" si="0"/>
        <v>7120.7757389999988</v>
      </c>
      <c r="E8" s="1113">
        <f t="shared" si="0"/>
        <v>7341.519786908998</v>
      </c>
      <c r="F8" s="1113">
        <f t="shared" si="0"/>
        <v>7569.1069003031753</v>
      </c>
      <c r="G8" s="1113">
        <f t="shared" si="0"/>
        <v>7803.7492142125739</v>
      </c>
      <c r="H8" s="1113">
        <f t="shared" si="0"/>
        <v>8045.6654398531628</v>
      </c>
      <c r="I8" s="1113">
        <f t="shared" si="0"/>
        <v>8295.0810684886092</v>
      </c>
      <c r="J8" s="1113">
        <f t="shared" si="0"/>
        <v>8552.2285816117565</v>
      </c>
      <c r="K8" s="1113">
        <f t="shared" si="0"/>
        <v>8817.3476676417195</v>
      </c>
      <c r="L8" s="1113">
        <f t="shared" si="0"/>
        <v>9090.6854453386131</v>
      </c>
      <c r="M8" s="1113">
        <f t="shared" si="0"/>
        <v>9372.4966941441089</v>
      </c>
      <c r="N8" s="1113">
        <f t="shared" si="0"/>
        <v>9663.0440916625757</v>
      </c>
      <c r="O8" s="1113">
        <f t="shared" si="0"/>
        <v>9962.5984585041151</v>
      </c>
      <c r="P8" s="1113">
        <f t="shared" si="0"/>
        <v>10271.439010717741</v>
      </c>
      <c r="Q8" s="1113">
        <f t="shared" si="0"/>
        <v>10589.853620049989</v>
      </c>
      <c r="R8" s="1113">
        <f t="shared" si="0"/>
        <v>10918.139082271538</v>
      </c>
      <c r="S8" s="1113">
        <f t="shared" si="0"/>
        <v>11256.601393821955</v>
      </c>
      <c r="T8" s="1113">
        <f t="shared" si="0"/>
        <v>11605.556037030434</v>
      </c>
      <c r="U8" s="1113">
        <f t="shared" si="0"/>
        <v>11965.328274178377</v>
      </c>
      <c r="V8" s="1113">
        <f t="shared" si="0"/>
        <v>12336.253450677905</v>
      </c>
      <c r="W8" s="1113">
        <f t="shared" si="0"/>
        <v>12718.677307648919</v>
      </c>
      <c r="X8" s="1113">
        <f t="shared" si="0"/>
        <v>13112.956304186035</v>
      </c>
      <c r="Y8" s="1113">
        <f t="shared" si="0"/>
        <v>13519.4579496158</v>
      </c>
      <c r="Z8" s="1113">
        <f t="shared" si="0"/>
        <v>13938.561146053889</v>
      </c>
      <c r="AA8" s="1129">
        <f t="shared" si="0"/>
        <v>247472.79166392196</v>
      </c>
      <c r="AB8" s="1120"/>
      <c r="AC8" s="1120"/>
    </row>
    <row r="9" spans="1:29" x14ac:dyDescent="0.35">
      <c r="AA9" s="1014"/>
    </row>
    <row r="10" spans="1:29" ht="15" thickBot="1" x14ac:dyDescent="0.4">
      <c r="AA10" s="1014"/>
    </row>
    <row r="11" spans="1:29" ht="15.5" thickTop="1" thickBot="1" x14ac:dyDescent="0.4">
      <c r="B11" s="1128">
        <v>1</v>
      </c>
      <c r="C11" s="1127">
        <v>2</v>
      </c>
      <c r="D11" s="1127">
        <v>3</v>
      </c>
      <c r="E11" s="1127">
        <v>4</v>
      </c>
      <c r="F11" s="1127">
        <v>5</v>
      </c>
      <c r="G11" s="1127">
        <v>6</v>
      </c>
      <c r="H11" s="1127">
        <v>7</v>
      </c>
      <c r="I11" s="1127">
        <v>8</v>
      </c>
      <c r="J11" s="1127">
        <v>9</v>
      </c>
      <c r="K11" s="1127">
        <v>10</v>
      </c>
      <c r="L11" s="1127">
        <v>11</v>
      </c>
      <c r="M11" s="1127">
        <v>12</v>
      </c>
      <c r="N11" s="1127">
        <v>13</v>
      </c>
      <c r="O11" s="1127">
        <v>14</v>
      </c>
      <c r="P11" s="1127">
        <v>15</v>
      </c>
      <c r="Q11" s="1127">
        <v>16</v>
      </c>
      <c r="R11" s="1127">
        <v>17</v>
      </c>
      <c r="S11" s="1127">
        <v>18</v>
      </c>
      <c r="T11" s="1127">
        <v>19</v>
      </c>
      <c r="U11" s="1127">
        <v>20</v>
      </c>
      <c r="V11" s="1127">
        <v>21</v>
      </c>
      <c r="W11" s="1127">
        <v>22</v>
      </c>
      <c r="X11" s="1127">
        <v>23</v>
      </c>
      <c r="Y11" s="1127">
        <v>24</v>
      </c>
      <c r="Z11" s="1127">
        <v>25</v>
      </c>
      <c r="AA11" s="1126" t="s">
        <v>1086</v>
      </c>
    </row>
    <row r="12" spans="1:29" ht="15" thickBot="1" x14ac:dyDescent="0.4">
      <c r="B12" s="1125">
        <v>2025</v>
      </c>
      <c r="C12" s="65">
        <v>2026</v>
      </c>
      <c r="D12" s="65">
        <v>2027</v>
      </c>
      <c r="E12" s="65">
        <v>2028</v>
      </c>
      <c r="F12" s="65">
        <v>2029</v>
      </c>
      <c r="G12" s="65">
        <v>2030</v>
      </c>
      <c r="H12" s="65">
        <v>2031</v>
      </c>
      <c r="I12" s="65">
        <v>2032</v>
      </c>
      <c r="J12" s="65">
        <v>2033</v>
      </c>
      <c r="K12" s="65">
        <v>2034</v>
      </c>
      <c r="L12" s="65">
        <v>2035</v>
      </c>
      <c r="M12" s="65">
        <v>2036</v>
      </c>
      <c r="N12" s="65">
        <v>2037</v>
      </c>
      <c r="O12" s="65">
        <v>2038</v>
      </c>
      <c r="P12" s="65">
        <v>2039</v>
      </c>
      <c r="Q12" s="65">
        <v>2040</v>
      </c>
      <c r="R12" s="65">
        <v>2041</v>
      </c>
      <c r="S12" s="65">
        <v>2042</v>
      </c>
      <c r="T12" s="65">
        <v>2043</v>
      </c>
      <c r="U12" s="65">
        <v>2044</v>
      </c>
      <c r="V12" s="65">
        <v>2045</v>
      </c>
      <c r="W12" s="65">
        <v>2046</v>
      </c>
      <c r="X12" s="65">
        <v>2047</v>
      </c>
      <c r="Y12" s="65">
        <v>2048</v>
      </c>
      <c r="Z12" s="65">
        <v>2049</v>
      </c>
      <c r="AA12" s="1124" t="s">
        <v>1085</v>
      </c>
    </row>
    <row r="13" spans="1:29" s="13" customFormat="1" x14ac:dyDescent="0.35">
      <c r="A13" s="1123" t="str">
        <f>'Conta explotación'!C10</f>
        <v>Cota Extra Inicial (Só Primeiro Ano)</v>
      </c>
      <c r="B13" s="1122">
        <f>'Conta explotación'!F10</f>
        <v>0</v>
      </c>
      <c r="C13" s="1122">
        <f>'Conta explotación'!G10</f>
        <v>0</v>
      </c>
      <c r="D13" s="1122">
        <f>'Conta explotación'!H10</f>
        <v>0</v>
      </c>
      <c r="E13" s="1122">
        <f>'Conta explotación'!I10</f>
        <v>0</v>
      </c>
      <c r="F13" s="1122">
        <f>'Conta explotación'!J10</f>
        <v>0</v>
      </c>
      <c r="G13" s="1122">
        <f>'Conta explotación'!K10</f>
        <v>0</v>
      </c>
      <c r="H13" s="1122">
        <f>'Conta explotación'!L10</f>
        <v>0</v>
      </c>
      <c r="I13" s="1122">
        <f>'Conta explotación'!M10</f>
        <v>0</v>
      </c>
      <c r="J13" s="1122">
        <f>'Conta explotación'!N10</f>
        <v>0</v>
      </c>
      <c r="K13" s="1122">
        <f>'Conta explotación'!O10</f>
        <v>0</v>
      </c>
      <c r="L13" s="1122">
        <f>'Conta explotación'!P10</f>
        <v>0</v>
      </c>
      <c r="M13" s="1122">
        <f>'Conta explotación'!Q10</f>
        <v>0</v>
      </c>
      <c r="N13" s="1122">
        <f>'Conta explotación'!R10</f>
        <v>0</v>
      </c>
      <c r="O13" s="1122">
        <f>'Conta explotación'!S10</f>
        <v>0</v>
      </c>
      <c r="P13" s="1122">
        <f>'Conta explotación'!T10</f>
        <v>0</v>
      </c>
      <c r="Q13" s="1122">
        <f>'Conta explotación'!U10</f>
        <v>0</v>
      </c>
      <c r="R13" s="1122">
        <f>'Conta explotación'!V10</f>
        <v>0</v>
      </c>
      <c r="S13" s="1122">
        <f>'Conta explotación'!W10</f>
        <v>0</v>
      </c>
      <c r="T13" s="1122">
        <f>'Conta explotación'!X10</f>
        <v>0</v>
      </c>
      <c r="U13" s="1122">
        <f>'Conta explotación'!Y10</f>
        <v>0</v>
      </c>
      <c r="V13" s="1122">
        <f>'Conta explotación'!Z10</f>
        <v>0</v>
      </c>
      <c r="W13" s="1122">
        <f>'Conta explotación'!AA10</f>
        <v>0</v>
      </c>
      <c r="X13" s="1122">
        <f>'Conta explotación'!AB10</f>
        <v>0</v>
      </c>
      <c r="Y13" s="1122">
        <f>'Conta explotación'!AC10</f>
        <v>0</v>
      </c>
      <c r="Z13" s="1122">
        <f>'Conta explotación'!AD10</f>
        <v>0</v>
      </c>
      <c r="AA13" s="1121">
        <f>SUM(B13:Z13)</f>
        <v>0</v>
      </c>
      <c r="AB13" s="1120"/>
      <c r="AC13" s="1120"/>
    </row>
    <row r="14" spans="1:29" x14ac:dyDescent="0.35">
      <c r="A14" s="779" t="str">
        <f>'Conta explotación'!C11</f>
        <v>Cotas de Socios</v>
      </c>
      <c r="B14" s="1119">
        <f>'Conta explotación'!F11</f>
        <v>2470.4699999999998</v>
      </c>
      <c r="C14" s="1119">
        <f>'Conta explotación'!G11</f>
        <v>2460</v>
      </c>
      <c r="D14" s="1119">
        <f>'Conta explotación'!H11</f>
        <v>2574.5599999999995</v>
      </c>
      <c r="E14" s="1119">
        <f>'Conta explotación'!I11</f>
        <v>2692.7859200000003</v>
      </c>
      <c r="F14" s="1119">
        <f>'Conta explotación'!J11</f>
        <v>2814.7950694400001</v>
      </c>
      <c r="G14" s="1119">
        <f>'Conta explotación'!K11</f>
        <v>2940.7085116620801</v>
      </c>
      <c r="H14" s="1119">
        <f>'Conta explotación'!L11</f>
        <v>3070.6511840352669</v>
      </c>
      <c r="I14" s="1119">
        <f>'Conta explotación'!M11</f>
        <v>3204.7520219243952</v>
      </c>
      <c r="J14" s="1119">
        <f>'Conta explotación'!N11</f>
        <v>3343.1440866259768</v>
      </c>
      <c r="K14" s="1119">
        <f>'Conta explotación'!O11</f>
        <v>3485.9646973980075</v>
      </c>
      <c r="L14" s="1119">
        <f>'Conta explotación'!P11</f>
        <v>3633.3555677147442</v>
      </c>
      <c r="M14" s="1119">
        <f>'Conta explotación'!Q11</f>
        <v>3785.4629458816171</v>
      </c>
      <c r="N14" s="1119">
        <f>'Conta explotación'!R11</f>
        <v>3942.4377601498277</v>
      </c>
      <c r="O14" s="1119">
        <f>'Conta explotación'!S11</f>
        <v>4104.4357684746237</v>
      </c>
      <c r="P14" s="1119">
        <f>'Conta explotación'!T11</f>
        <v>4271.6177130658116</v>
      </c>
      <c r="Q14" s="1119">
        <f>'Conta explotación'!U11</f>
        <v>4444.1494798839176</v>
      </c>
      <c r="R14" s="1119">
        <f>'Conta explotación'!V11</f>
        <v>4622.2022632402031</v>
      </c>
      <c r="S14" s="1119">
        <f>'Conta explotación'!W11</f>
        <v>4805.9527356638891</v>
      </c>
      <c r="T14" s="1119">
        <f>'Conta explotación'!X11</f>
        <v>4995.5832232051353</v>
      </c>
      <c r="U14" s="1119">
        <f>'Conta explotación'!Y11</f>
        <v>5191.2818863476987</v>
      </c>
      <c r="V14" s="1119">
        <f>'Conta explotación'!Z11</f>
        <v>5393.242906710826</v>
      </c>
      <c r="W14" s="1119">
        <f>'Conta explotación'!AA11</f>
        <v>5601.6666797255721</v>
      </c>
      <c r="X14" s="1119">
        <f>'Conta explotación'!AB11</f>
        <v>5816.7600134767908</v>
      </c>
      <c r="Y14" s="1119">
        <f>'Conta explotación'!AC11</f>
        <v>6038.7363339080466</v>
      </c>
      <c r="Z14" s="1119">
        <f>'Conta explotación'!AD11</f>
        <v>6267.8158965931061</v>
      </c>
      <c r="AA14" s="1118">
        <f>SUM(B14:Z14)</f>
        <v>101972.53266512754</v>
      </c>
    </row>
    <row r="15" spans="1:29" ht="15" thickBot="1" x14ac:dyDescent="0.4">
      <c r="A15" s="1117" t="s">
        <v>1084</v>
      </c>
      <c r="B15" s="1116">
        <f>'Conta explotación'!F12</f>
        <v>0</v>
      </c>
      <c r="C15" s="1116">
        <f>'Conta explotación'!G12</f>
        <v>0</v>
      </c>
      <c r="D15" s="1116">
        <f>'Conta explotación'!H12</f>
        <v>0</v>
      </c>
      <c r="E15" s="1116">
        <f>'Conta explotación'!I12</f>
        <v>0</v>
      </c>
      <c r="F15" s="1116">
        <f>'Conta explotación'!J12</f>
        <v>0</v>
      </c>
      <c r="G15" s="1116">
        <f>'Conta explotación'!K12</f>
        <v>0</v>
      </c>
      <c r="H15" s="1116">
        <f>'Conta explotación'!L12</f>
        <v>0</v>
      </c>
      <c r="I15" s="1116">
        <f>'Conta explotación'!M12</f>
        <v>0</v>
      </c>
      <c r="J15" s="1116">
        <f>'Conta explotación'!N12</f>
        <v>0</v>
      </c>
      <c r="K15" s="1116">
        <f>'Conta explotación'!O12</f>
        <v>0</v>
      </c>
      <c r="L15" s="1116">
        <f>'Conta explotación'!P12</f>
        <v>0</v>
      </c>
      <c r="M15" s="1116">
        <f>'Conta explotación'!Q12</f>
        <v>0</v>
      </c>
      <c r="N15" s="1116">
        <f>'Conta explotación'!R12</f>
        <v>0</v>
      </c>
      <c r="O15" s="1116">
        <f>'Conta explotación'!S12</f>
        <v>0</v>
      </c>
      <c r="P15" s="1116">
        <f>'Conta explotación'!T12</f>
        <v>0</v>
      </c>
      <c r="Q15" s="1116">
        <f>'Conta explotación'!U12</f>
        <v>0</v>
      </c>
      <c r="R15" s="1116">
        <f>'Conta explotación'!V12</f>
        <v>0</v>
      </c>
      <c r="S15" s="1116">
        <f>'Conta explotación'!W12</f>
        <v>0</v>
      </c>
      <c r="T15" s="1116">
        <f>'Conta explotación'!X12</f>
        <v>0</v>
      </c>
      <c r="U15" s="1116">
        <f>'Conta explotación'!Y12</f>
        <v>0</v>
      </c>
      <c r="V15" s="1116">
        <f>'Conta explotación'!Z12</f>
        <v>0</v>
      </c>
      <c r="W15" s="1116">
        <f>'Conta explotación'!AA12</f>
        <v>0</v>
      </c>
      <c r="X15" s="1116">
        <f>'Conta explotación'!AB12</f>
        <v>0</v>
      </c>
      <c r="Y15" s="1116">
        <f>'Conta explotación'!AC12</f>
        <v>0</v>
      </c>
      <c r="Z15" s="1116">
        <f>'Conta explotación'!AD12</f>
        <v>0</v>
      </c>
      <c r="AA15" s="1115">
        <f>SUM(B15:Z15)</f>
        <v>0</v>
      </c>
    </row>
    <row r="16" spans="1:29" s="13" customFormat="1" ht="15" thickBot="1" x14ac:dyDescent="0.4">
      <c r="A16" s="611" t="s">
        <v>1083</v>
      </c>
      <c r="B16" s="1114">
        <f t="shared" ref="B16:Z16" si="1">SUM(B13:B15)</f>
        <v>2470.4699999999998</v>
      </c>
      <c r="C16" s="1113">
        <f t="shared" si="1"/>
        <v>2460</v>
      </c>
      <c r="D16" s="1113">
        <f t="shared" si="1"/>
        <v>2574.5599999999995</v>
      </c>
      <c r="E16" s="1113">
        <f t="shared" si="1"/>
        <v>2692.7859200000003</v>
      </c>
      <c r="F16" s="1113">
        <f t="shared" si="1"/>
        <v>2814.7950694400001</v>
      </c>
      <c r="G16" s="1113">
        <f t="shared" si="1"/>
        <v>2940.7085116620801</v>
      </c>
      <c r="H16" s="1113">
        <f t="shared" si="1"/>
        <v>3070.6511840352669</v>
      </c>
      <c r="I16" s="1113">
        <f t="shared" si="1"/>
        <v>3204.7520219243952</v>
      </c>
      <c r="J16" s="1113">
        <f t="shared" si="1"/>
        <v>3343.1440866259768</v>
      </c>
      <c r="K16" s="1113">
        <f t="shared" si="1"/>
        <v>3485.9646973980075</v>
      </c>
      <c r="L16" s="1113">
        <f t="shared" si="1"/>
        <v>3633.3555677147442</v>
      </c>
      <c r="M16" s="1113">
        <f t="shared" si="1"/>
        <v>3785.4629458816171</v>
      </c>
      <c r="N16" s="1113">
        <f t="shared" si="1"/>
        <v>3942.4377601498277</v>
      </c>
      <c r="O16" s="1113">
        <f t="shared" si="1"/>
        <v>4104.4357684746237</v>
      </c>
      <c r="P16" s="1113">
        <f t="shared" si="1"/>
        <v>4271.6177130658116</v>
      </c>
      <c r="Q16" s="1113">
        <f t="shared" si="1"/>
        <v>4444.1494798839176</v>
      </c>
      <c r="R16" s="1113">
        <f t="shared" si="1"/>
        <v>4622.2022632402031</v>
      </c>
      <c r="S16" s="1113">
        <f t="shared" si="1"/>
        <v>4805.9527356638891</v>
      </c>
      <c r="T16" s="1113">
        <f t="shared" si="1"/>
        <v>4995.5832232051353</v>
      </c>
      <c r="U16" s="1113">
        <f t="shared" si="1"/>
        <v>5191.2818863476987</v>
      </c>
      <c r="V16" s="1113">
        <f t="shared" si="1"/>
        <v>5393.242906710826</v>
      </c>
      <c r="W16" s="1113">
        <f t="shared" si="1"/>
        <v>5601.6666797255721</v>
      </c>
      <c r="X16" s="1113">
        <f t="shared" si="1"/>
        <v>5816.7600134767908</v>
      </c>
      <c r="Y16" s="1113">
        <f t="shared" si="1"/>
        <v>6038.7363339080466</v>
      </c>
      <c r="Z16" s="1113">
        <f t="shared" si="1"/>
        <v>6267.8158965931061</v>
      </c>
      <c r="AA16" s="1112">
        <f>SUM(B16:Z16)</f>
        <v>101972.53266512754</v>
      </c>
    </row>
    <row r="17" spans="1:27" ht="15" thickBot="1" x14ac:dyDescent="0.4">
      <c r="AA17" s="1014"/>
    </row>
    <row r="18" spans="1:27" ht="17" thickTop="1" thickBot="1" x14ac:dyDescent="0.55000000000000004">
      <c r="A18" s="1111" t="s">
        <v>1082</v>
      </c>
      <c r="B18" s="1110">
        <f t="shared" ref="B18:Z18" si="2">B8-B16</f>
        <v>4228.5300000000007</v>
      </c>
      <c r="C18" s="1109">
        <f t="shared" si="2"/>
        <v>4446.6689999999999</v>
      </c>
      <c r="D18" s="1109">
        <f t="shared" si="2"/>
        <v>4546.2157389999993</v>
      </c>
      <c r="E18" s="1109">
        <f t="shared" si="2"/>
        <v>4648.7338669089977</v>
      </c>
      <c r="F18" s="1109">
        <f t="shared" si="2"/>
        <v>4754.3118308631747</v>
      </c>
      <c r="G18" s="1109">
        <f t="shared" si="2"/>
        <v>4863.0407025504937</v>
      </c>
      <c r="H18" s="1109">
        <f t="shared" si="2"/>
        <v>4975.0142558178959</v>
      </c>
      <c r="I18" s="1109">
        <f t="shared" si="2"/>
        <v>5090.329046564214</v>
      </c>
      <c r="J18" s="1109">
        <f t="shared" si="2"/>
        <v>5209.0844949857801</v>
      </c>
      <c r="K18" s="1109">
        <f t="shared" si="2"/>
        <v>5331.3829702437124</v>
      </c>
      <c r="L18" s="1109">
        <f t="shared" si="2"/>
        <v>5457.3298776238689</v>
      </c>
      <c r="M18" s="1109">
        <f t="shared" si="2"/>
        <v>5587.0337482624918</v>
      </c>
      <c r="N18" s="1109">
        <f t="shared" si="2"/>
        <v>5720.6063315127485</v>
      </c>
      <c r="O18" s="1109">
        <f t="shared" si="2"/>
        <v>5858.1626900294914</v>
      </c>
      <c r="P18" s="1109">
        <f t="shared" si="2"/>
        <v>5999.8212976519289</v>
      </c>
      <c r="Q18" s="1109">
        <f t="shared" si="2"/>
        <v>6145.7041401660717</v>
      </c>
      <c r="R18" s="1109">
        <f t="shared" si="2"/>
        <v>6295.9368190313353</v>
      </c>
      <c r="S18" s="1109">
        <f t="shared" si="2"/>
        <v>6450.6486581580657</v>
      </c>
      <c r="T18" s="1109">
        <f t="shared" si="2"/>
        <v>6609.9728138252985</v>
      </c>
      <c r="U18" s="1109">
        <f t="shared" si="2"/>
        <v>6774.0463878306782</v>
      </c>
      <c r="V18" s="1109">
        <f t="shared" si="2"/>
        <v>6943.0105439670788</v>
      </c>
      <c r="W18" s="1109">
        <f t="shared" si="2"/>
        <v>7117.0106279233469</v>
      </c>
      <c r="X18" s="1109">
        <f t="shared" si="2"/>
        <v>7296.1962907092438</v>
      </c>
      <c r="Y18" s="1109">
        <f t="shared" si="2"/>
        <v>7480.7216157077537</v>
      </c>
      <c r="Z18" s="1108">
        <f t="shared" si="2"/>
        <v>7670.7452494607833</v>
      </c>
      <c r="AA18" s="1107">
        <f>SUM(B18:Z18)</f>
        <v>145500.25899879442</v>
      </c>
    </row>
    <row r="19" spans="1:27" ht="15" thickTop="1" x14ac:dyDescent="0.35">
      <c r="A19" t="s">
        <v>1081</v>
      </c>
      <c r="B19" s="150">
        <f>B18/((1+'Hipóteses xerais (2)'!$C$33)^(B11))</f>
        <v>4095.2302551934536</v>
      </c>
      <c r="C19" s="150">
        <f>C18/((1+'Hipóteses xerais (2)'!$C$33)^(C11))</f>
        <v>4170.7352319921747</v>
      </c>
      <c r="D19" s="150">
        <f>D18/((1+'Hipóteses xerais (2)'!$C$33)^(D11))</f>
        <v>4129.6834960507049</v>
      </c>
      <c r="E19" s="150">
        <f>E18/((1+'Hipóteses xerais (2)'!$C$33)^(E11))</f>
        <v>4089.6893454553779</v>
      </c>
      <c r="F19" s="150">
        <f>F18/((1+'Hipóteses xerais (2)'!$C$33)^(F11))</f>
        <v>4050.7198497351342</v>
      </c>
      <c r="G19" s="150">
        <f>G18/((1+'Hipóteses xerais (2)'!$C$33)^(G11))</f>
        <v>4012.7431158735294</v>
      </c>
      <c r="H19" s="150">
        <f>H18/((1+'Hipóteses xerais (2)'!$C$33)^(H11))</f>
        <v>3975.7282556050882</v>
      </c>
      <c r="I19" s="150">
        <f>I18/((1+'Hipóteses xerais (2)'!$C$33)^(I11))</f>
        <v>3939.6453537426328</v>
      </c>
      <c r="J19" s="150">
        <f>J18/((1+'Hipóteses xerais (2)'!$C$33)^(J11))</f>
        <v>3904.4654375030295</v>
      </c>
      <c r="K19" s="150">
        <f>K18/((1+'Hipóteses xerais (2)'!$C$33)^(K11))</f>
        <v>3870.1604467999155</v>
      </c>
      <c r="L19" s="150">
        <f>L18/((1+'Hipóteses xerais (2)'!$C$33)^(L11))</f>
        <v>3836.7032054729152</v>
      </c>
      <c r="M19" s="150">
        <f>M18/((1+'Hipóteses xerais (2)'!$C$33)^(M11))</f>
        <v>3804.0673934238193</v>
      </c>
      <c r="N19" s="150">
        <f>N18/((1+'Hipóteses xerais (2)'!$C$33)^(N11))</f>
        <v>3772.2275196311434</v>
      </c>
      <c r="O19" s="150">
        <f>O18/((1+'Hipóteses xerais (2)'!$C$33)^(O11))</f>
        <v>3741.1588960153572</v>
      </c>
      <c r="P19" s="150">
        <f>P18/((1+'Hipóteses xerais (2)'!$C$33)^(P11))</f>
        <v>3710.8376121280039</v>
      </c>
      <c r="Q19" s="150">
        <f>Q18/((1+'Hipóteses xerais (2)'!$C$33)^(Q11))</f>
        <v>3681.2405106386991</v>
      </c>
      <c r="R19" s="150">
        <f>R18/((1+'Hipóteses xerais (2)'!$C$33)^(R11))</f>
        <v>3652.3451635948772</v>
      </c>
      <c r="S19" s="150">
        <f>S18/((1+'Hipóteses xerais (2)'!$C$33)^(S11))</f>
        <v>3624.1298494299267</v>
      </c>
      <c r="T19" s="150">
        <f>T18/((1+'Hipóteses xerais (2)'!$C$33)^(T11))</f>
        <v>3596.5735306961087</v>
      </c>
      <c r="U19" s="150">
        <f>U18/((1+'Hipóteses xerais (2)'!$C$33)^(U11))</f>
        <v>3569.655832499433</v>
      </c>
      <c r="V19" s="150">
        <f>V18/((1+'Hipóteses xerais (2)'!$C$33)^(V11))</f>
        <v>3543.3570216143271</v>
      </c>
      <c r="W19" s="150">
        <f>W18/((1+'Hipóteses xerais (2)'!$C$33)^(W11))</f>
        <v>3517.657986256721</v>
      </c>
      <c r="X19" s="150">
        <f>X18/((1+'Hipóteses xerais (2)'!$C$33)^(X11))</f>
        <v>3492.5402164947272</v>
      </c>
      <c r="Y19" s="150">
        <f>Y18/((1+'Hipóteses xerais (2)'!$C$33)^(Y11))</f>
        <v>3467.9857852768851</v>
      </c>
      <c r="Z19" s="150">
        <f>Z18/((1+'Hipóteses xerais (2)'!$C$33)^(Z11))</f>
        <v>3443.9773300584375</v>
      </c>
      <c r="AA19" s="1106"/>
    </row>
    <row r="20" spans="1:27" x14ac:dyDescent="0.35">
      <c r="W20" s="1104" t="s">
        <v>1080</v>
      </c>
      <c r="X20" s="1104"/>
      <c r="Y20" s="1104"/>
      <c r="Z20" s="1104"/>
      <c r="AA20" s="1105">
        <f>('Conta Individ. Socio'!$AA$18*'Datos CE e Socios'!$B$2)-'Conta Conxunto de Socios'!$AA$18</f>
        <v>0</v>
      </c>
    </row>
    <row r="21" spans="1:27" x14ac:dyDescent="0.35">
      <c r="W21" s="1104" t="s">
        <v>1079</v>
      </c>
      <c r="X21" s="1104"/>
      <c r="Y21" s="1104"/>
      <c r="Z21" s="1104"/>
      <c r="AA21" s="1103" t="str">
        <f>IF(AA20&lt;0.01, "O.K.", "INCOHERENTE")</f>
        <v>O.K.</v>
      </c>
    </row>
    <row r="22" spans="1:27" x14ac:dyDescent="0.35">
      <c r="A22" s="1090" t="s">
        <v>1072</v>
      </c>
      <c r="B22" s="1089"/>
      <c r="C22" s="1089"/>
      <c r="D22" s="1089"/>
      <c r="E22" s="1089"/>
      <c r="F22" s="1089"/>
      <c r="G22" s="1089"/>
      <c r="H22" s="1088"/>
    </row>
    <row r="23" spans="1:27" x14ac:dyDescent="0.35">
      <c r="A23" s="662" t="s">
        <v>1070</v>
      </c>
      <c r="B23" s="661"/>
      <c r="C23" s="661"/>
      <c r="D23" s="661"/>
      <c r="E23" s="661"/>
      <c r="F23" s="661"/>
      <c r="G23" s="661"/>
      <c r="H23" s="827"/>
    </row>
    <row r="25" spans="1:27" ht="15" thickBot="1" x14ac:dyDescent="0.4"/>
    <row r="26" spans="1:27" ht="15.5" thickTop="1" thickBot="1" x14ac:dyDescent="0.4">
      <c r="A26" s="1102" t="s">
        <v>1078</v>
      </c>
      <c r="B26" s="1101">
        <f>'Hipóteses xerais (2)'!$F$35</f>
        <v>70150</v>
      </c>
    </row>
    <row r="27" spans="1:27" x14ac:dyDescent="0.35">
      <c r="A27" s="1100" t="s">
        <v>1077</v>
      </c>
      <c r="B27" s="1099">
        <f>NPV('Hipóteses xerais (2)'!$C$33,B18:Z18)</f>
        <v>94693.25864118243</v>
      </c>
    </row>
    <row r="28" spans="1:27" ht="15" thickBot="1" x14ac:dyDescent="0.4">
      <c r="A28" s="1098" t="s">
        <v>1076</v>
      </c>
      <c r="B28" s="1097">
        <f>NPV('Hipóteses xerais (2)'!$C$33,-B26,B18:Z18)</f>
        <v>23769.559480104999</v>
      </c>
    </row>
    <row r="29" spans="1:27" x14ac:dyDescent="0.35">
      <c r="A29" s="1096" t="s">
        <v>1075</v>
      </c>
      <c r="B29" s="1095">
        <f>IRR(B32:AA32)</f>
        <v>5.8845201157594174E-2</v>
      </c>
    </row>
    <row r="30" spans="1:27" ht="15" thickBot="1" x14ac:dyDescent="0.4">
      <c r="A30" s="1094" t="s">
        <v>1074</v>
      </c>
      <c r="B30" s="1093">
        <f>MIRR(B32:AA32,'Hipóteses xerais (2)'!$C$33,'Hipóteses xerais (2)'!$C$33)</f>
        <v>4.5015534666871249E-2</v>
      </c>
    </row>
    <row r="31" spans="1:27" ht="15.5" thickTop="1" thickBot="1" x14ac:dyDescent="0.4"/>
    <row r="32" spans="1:27" ht="15" hidden="1" thickBot="1" x14ac:dyDescent="0.4">
      <c r="B32" s="150">
        <f>-B26</f>
        <v>-70150</v>
      </c>
      <c r="C32" s="150">
        <f t="shared" ref="C32:AA32" si="3">B18</f>
        <v>4228.5300000000007</v>
      </c>
      <c r="D32" s="150">
        <f t="shared" si="3"/>
        <v>4446.6689999999999</v>
      </c>
      <c r="E32" s="150">
        <f t="shared" si="3"/>
        <v>4546.2157389999993</v>
      </c>
      <c r="F32" s="150">
        <f t="shared" si="3"/>
        <v>4648.7338669089977</v>
      </c>
      <c r="G32" s="150">
        <f t="shared" si="3"/>
        <v>4754.3118308631747</v>
      </c>
      <c r="H32" s="150">
        <f t="shared" si="3"/>
        <v>4863.0407025504937</v>
      </c>
      <c r="I32" s="150">
        <f t="shared" si="3"/>
        <v>4975.0142558178959</v>
      </c>
      <c r="J32" s="150">
        <f t="shared" si="3"/>
        <v>5090.329046564214</v>
      </c>
      <c r="K32" s="150">
        <f t="shared" si="3"/>
        <v>5209.0844949857801</v>
      </c>
      <c r="L32" s="150">
        <f t="shared" si="3"/>
        <v>5331.3829702437124</v>
      </c>
      <c r="M32" s="150">
        <f t="shared" si="3"/>
        <v>5457.3298776238689</v>
      </c>
      <c r="N32" s="150">
        <f t="shared" si="3"/>
        <v>5587.0337482624918</v>
      </c>
      <c r="O32" s="150">
        <f t="shared" si="3"/>
        <v>5720.6063315127485</v>
      </c>
      <c r="P32" s="150">
        <f t="shared" si="3"/>
        <v>5858.1626900294914</v>
      </c>
      <c r="Q32" s="150">
        <f t="shared" si="3"/>
        <v>5999.8212976519289</v>
      </c>
      <c r="R32" s="150">
        <f t="shared" si="3"/>
        <v>6145.7041401660717</v>
      </c>
      <c r="S32" s="150">
        <f t="shared" si="3"/>
        <v>6295.9368190313353</v>
      </c>
      <c r="T32" s="150">
        <f t="shared" si="3"/>
        <v>6450.6486581580657</v>
      </c>
      <c r="U32" s="150">
        <f t="shared" si="3"/>
        <v>6609.9728138252985</v>
      </c>
      <c r="V32" s="150">
        <f t="shared" si="3"/>
        <v>6774.0463878306782</v>
      </c>
      <c r="W32" s="150">
        <f t="shared" si="3"/>
        <v>6943.0105439670788</v>
      </c>
      <c r="X32" s="150">
        <f t="shared" si="3"/>
        <v>7117.0106279233469</v>
      </c>
      <c r="Y32" s="150">
        <f t="shared" si="3"/>
        <v>7296.1962907092438</v>
      </c>
      <c r="Z32" s="150">
        <f t="shared" si="3"/>
        <v>7480.7216157077537</v>
      </c>
      <c r="AA32" s="150">
        <f t="shared" si="3"/>
        <v>7670.7452494607833</v>
      </c>
    </row>
    <row r="33" spans="1:2" ht="15.5" thickTop="1" thickBot="1" x14ac:dyDescent="0.4">
      <c r="A33" s="947" t="s">
        <v>1073</v>
      </c>
      <c r="B33" s="1092">
        <f>B26/AVERAGE(B19:Z19)</f>
        <v>18.520325788400822</v>
      </c>
    </row>
    <row r="34" spans="1:2" ht="15" thickTop="1" x14ac:dyDescent="0.35"/>
  </sheetData>
  <conditionalFormatting sqref="AA20">
    <cfRule type="expression" dxfId="3" priority="1">
      <formula>$AA$20&lt;0.01</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E5903-373F-4372-863B-E21DA219558A}">
  <dimension ref="A1:AC34"/>
  <sheetViews>
    <sheetView zoomScale="98" zoomScaleNormal="98" workbookViewId="0">
      <pane xSplit="4" ySplit="11" topLeftCell="V23" activePane="bottomRight" state="frozen"/>
      <selection activeCell="F2" sqref="F2"/>
      <selection pane="topRight" activeCell="F2" sqref="F2"/>
      <selection pane="bottomLeft" activeCell="F2" sqref="F2"/>
      <selection pane="bottomRight" activeCell="F2" sqref="F2"/>
    </sheetView>
  </sheetViews>
  <sheetFormatPr baseColWidth="10" defaultColWidth="11.54296875" defaultRowHeight="14.5" x14ac:dyDescent="0.35"/>
  <cols>
    <col min="1" max="1" width="52.54296875" customWidth="1"/>
    <col min="2" max="2" width="12" bestFit="1" customWidth="1"/>
    <col min="17" max="26" width="11.54296875" bestFit="1" customWidth="1"/>
    <col min="27" max="27" width="16.81640625" bestFit="1" customWidth="1"/>
  </cols>
  <sheetData>
    <row r="1" spans="1:29" ht="15.5" thickTop="1" thickBot="1" x14ac:dyDescent="0.4">
      <c r="B1" s="1128">
        <v>1</v>
      </c>
      <c r="C1" s="1127">
        <v>2</v>
      </c>
      <c r="D1" s="1127">
        <v>3</v>
      </c>
      <c r="E1" s="1127">
        <v>4</v>
      </c>
      <c r="F1" s="1127">
        <v>5</v>
      </c>
      <c r="G1" s="1127">
        <v>6</v>
      </c>
      <c r="H1" s="1127">
        <v>7</v>
      </c>
      <c r="I1" s="1127">
        <v>8</v>
      </c>
      <c r="J1" s="1127">
        <v>9</v>
      </c>
      <c r="K1" s="1127">
        <v>10</v>
      </c>
      <c r="L1" s="1127">
        <v>11</v>
      </c>
      <c r="M1" s="1127">
        <v>12</v>
      </c>
      <c r="N1" s="1127">
        <v>13</v>
      </c>
      <c r="O1" s="1127">
        <v>14</v>
      </c>
      <c r="P1" s="1127">
        <v>15</v>
      </c>
      <c r="Q1" s="1127">
        <v>16</v>
      </c>
      <c r="R1" s="1127">
        <v>17</v>
      </c>
      <c r="S1" s="1127">
        <v>18</v>
      </c>
      <c r="T1" s="1127">
        <v>19</v>
      </c>
      <c r="U1" s="1127">
        <v>20</v>
      </c>
      <c r="V1" s="1127">
        <v>21</v>
      </c>
      <c r="W1" s="1127">
        <v>22</v>
      </c>
      <c r="X1" s="1127">
        <v>23</v>
      </c>
      <c r="Y1" s="1127">
        <v>24</v>
      </c>
      <c r="Z1" s="1127">
        <v>25</v>
      </c>
      <c r="AA1" s="1126" t="s">
        <v>1086</v>
      </c>
    </row>
    <row r="2" spans="1:29" ht="15" thickBot="1" x14ac:dyDescent="0.4">
      <c r="B2" s="1125">
        <v>2025</v>
      </c>
      <c r="C2" s="65">
        <v>2026</v>
      </c>
      <c r="D2" s="65">
        <v>2027</v>
      </c>
      <c r="E2" s="65">
        <v>2028</v>
      </c>
      <c r="F2" s="65">
        <v>2029</v>
      </c>
      <c r="G2" s="65">
        <v>2030</v>
      </c>
      <c r="H2" s="65">
        <v>2031</v>
      </c>
      <c r="I2" s="65">
        <v>2032</v>
      </c>
      <c r="J2" s="65">
        <v>2033</v>
      </c>
      <c r="K2" s="65">
        <v>2034</v>
      </c>
      <c r="L2" s="65">
        <v>2035</v>
      </c>
      <c r="M2" s="65">
        <v>2036</v>
      </c>
      <c r="N2" s="65">
        <v>2037</v>
      </c>
      <c r="O2" s="65">
        <v>2038</v>
      </c>
      <c r="P2" s="65">
        <v>2039</v>
      </c>
      <c r="Q2" s="65">
        <v>2040</v>
      </c>
      <c r="R2" s="65">
        <v>2041</v>
      </c>
      <c r="S2" s="65">
        <v>2042</v>
      </c>
      <c r="T2" s="65">
        <v>2043</v>
      </c>
      <c r="U2" s="65">
        <v>2044</v>
      </c>
      <c r="V2" s="65">
        <v>2045</v>
      </c>
      <c r="W2" s="65">
        <v>2046</v>
      </c>
      <c r="X2" s="65">
        <v>2047</v>
      </c>
      <c r="Y2" s="65">
        <v>2048</v>
      </c>
      <c r="Z2" s="65">
        <v>2049</v>
      </c>
      <c r="AA2" s="1124" t="s">
        <v>1085</v>
      </c>
    </row>
    <row r="3" spans="1:29" x14ac:dyDescent="0.35">
      <c r="A3" s="786" t="s">
        <v>1090</v>
      </c>
      <c r="B3" s="1132">
        <f>'Conta explotación'!F6*'Datos CE e Socios'!$B$5</f>
        <v>178.64000000000001</v>
      </c>
      <c r="C3" s="1132">
        <f>'Conta explotación'!G6*'Datos CE e Socios'!$B$5</f>
        <v>184.17784</v>
      </c>
      <c r="D3" s="1132">
        <f>'Conta explotación'!H6*'Datos CE e Socios'!$B$5</f>
        <v>189.88735303999999</v>
      </c>
      <c r="E3" s="1132">
        <f>'Conta explotación'!I6*'Datos CE e Socios'!$B$5</f>
        <v>195.77386098423995</v>
      </c>
      <c r="F3" s="1132">
        <f>'Conta explotación'!J6*'Datos CE e Socios'!$B$5</f>
        <v>201.84285067475136</v>
      </c>
      <c r="G3" s="1132">
        <f>'Conta explotación'!K6*'Datos CE e Socios'!$B$5</f>
        <v>208.09997904566862</v>
      </c>
      <c r="H3" s="1132">
        <f>'Conta explotación'!L6*'Datos CE e Socios'!$B$5</f>
        <v>214.55107839608434</v>
      </c>
      <c r="I3" s="1132">
        <f>'Conta explotación'!M6*'Datos CE e Socios'!$B$5</f>
        <v>221.20216182636295</v>
      </c>
      <c r="J3" s="1132">
        <f>'Conta explotación'!N6*'Datos CE e Socios'!$B$5</f>
        <v>228.05942884298017</v>
      </c>
      <c r="K3" s="1132">
        <f>'Conta explotación'!O6*'Datos CE e Socios'!$B$5</f>
        <v>235.12927113711251</v>
      </c>
      <c r="L3" s="1132">
        <f>'Conta explotación'!P6*'Datos CE e Socios'!$B$5</f>
        <v>242.418278542363</v>
      </c>
      <c r="M3" s="1132">
        <f>'Conta explotación'!Q6*'Datos CE e Socios'!$B$5</f>
        <v>249.93324517717625</v>
      </c>
      <c r="N3" s="1132">
        <f>'Conta explotación'!R6*'Datos CE e Socios'!$B$5</f>
        <v>257.68117577766867</v>
      </c>
      <c r="O3" s="1132">
        <f>'Conta explotación'!S6*'Datos CE e Socios'!$B$5</f>
        <v>265.66929222677641</v>
      </c>
      <c r="P3" s="1132">
        <f>'Conta explotación'!T6*'Datos CE e Socios'!$B$5</f>
        <v>273.90504028580642</v>
      </c>
      <c r="Q3" s="1132">
        <f>'Conta explotación'!U6*'Datos CE e Socios'!$B$5</f>
        <v>282.39609653466641</v>
      </c>
      <c r="R3" s="1132">
        <f>'Conta explotación'!V6*'Datos CE e Socios'!$B$5</f>
        <v>291.15037552724101</v>
      </c>
      <c r="S3" s="1132">
        <f>'Conta explotación'!W6*'Datos CE e Socios'!$B$5</f>
        <v>300.17603716858548</v>
      </c>
      <c r="T3" s="1132">
        <f>'Conta explotación'!X6*'Datos CE e Socios'!$B$5</f>
        <v>309.48149432081158</v>
      </c>
      <c r="U3" s="1132">
        <f>'Conta explotación'!Y6*'Datos CE e Socios'!$B$5</f>
        <v>319.07542064475672</v>
      </c>
      <c r="V3" s="1132">
        <f>'Conta explotación'!Z6*'Datos CE e Socios'!$B$5</f>
        <v>328.96675868474415</v>
      </c>
      <c r="W3" s="1132">
        <f>'Conta explotación'!AA6*'Datos CE e Socios'!$B$5</f>
        <v>339.16472820397115</v>
      </c>
      <c r="X3" s="1132">
        <f>'Conta explotación'!AB6*'Datos CE e Socios'!$B$5</f>
        <v>349.67883477829429</v>
      </c>
      <c r="Y3" s="1132">
        <f>'Conta explotación'!AC6*'Datos CE e Socios'!$B$5</f>
        <v>360.51887865642135</v>
      </c>
      <c r="Z3" s="1132">
        <f>'Conta explotación'!AD6*'Datos CE e Socios'!$B$5</f>
        <v>371.69496389477041</v>
      </c>
      <c r="AA3" s="1131">
        <f>SUM(B3:Z3)</f>
        <v>6599.2744443712536</v>
      </c>
    </row>
    <row r="4" spans="1:29" x14ac:dyDescent="0.35">
      <c r="A4" s="779" t="s">
        <v>1089</v>
      </c>
      <c r="B4" s="1130">
        <f>'Conta explotación'!F7*'Datos CE e Socios'!$B$5</f>
        <v>89.320000000000007</v>
      </c>
      <c r="C4" s="1130">
        <f>'Conta explotación'!G7*'Datos CE e Socios'!$B$5</f>
        <v>92.088920000000002</v>
      </c>
      <c r="D4" s="1130">
        <f>'Conta explotación'!H7*'Datos CE e Socios'!$B$5</f>
        <v>94.943676519999997</v>
      </c>
      <c r="E4" s="1130">
        <f>'Conta explotación'!I7*'Datos CE e Socios'!$B$5</f>
        <v>97.886930492119973</v>
      </c>
      <c r="F4" s="1130">
        <f>'Conta explotación'!J7*'Datos CE e Socios'!$B$5</f>
        <v>100.92142533737568</v>
      </c>
      <c r="G4" s="1130">
        <f>'Conta explotación'!K7*'Datos CE e Socios'!$B$5</f>
        <v>104.04998952283431</v>
      </c>
      <c r="H4" s="1130">
        <f>'Conta explotación'!L7*'Datos CE e Socios'!$B$5</f>
        <v>107.27553919804217</v>
      </c>
      <c r="I4" s="1130">
        <f>'Conta explotación'!M7*'Datos CE e Socios'!$B$5</f>
        <v>110.60108091318148</v>
      </c>
      <c r="J4" s="1130">
        <f>'Conta explotación'!N7*'Datos CE e Socios'!$B$5</f>
        <v>114.02971442149008</v>
      </c>
      <c r="K4" s="1130">
        <f>'Conta explotación'!O7*'Datos CE e Socios'!$B$5</f>
        <v>117.56463556855626</v>
      </c>
      <c r="L4" s="1130">
        <f>'Conta explotación'!P7*'Datos CE e Socios'!$B$5</f>
        <v>121.2091392711815</v>
      </c>
      <c r="M4" s="1130">
        <f>'Conta explotación'!Q7*'Datos CE e Socios'!$B$5</f>
        <v>124.96662258858812</v>
      </c>
      <c r="N4" s="1130">
        <f>'Conta explotación'!R7*'Datos CE e Socios'!$B$5</f>
        <v>128.84058788883434</v>
      </c>
      <c r="O4" s="1130">
        <f>'Conta explotación'!S7*'Datos CE e Socios'!$B$5</f>
        <v>132.8346461133882</v>
      </c>
      <c r="P4" s="1130">
        <f>'Conta explotación'!T7*'Datos CE e Socios'!$B$5</f>
        <v>136.95252014290321</v>
      </c>
      <c r="Q4" s="1130">
        <f>'Conta explotación'!U7*'Datos CE e Socios'!$B$5</f>
        <v>141.19804826733321</v>
      </c>
      <c r="R4" s="1130">
        <f>'Conta explotación'!V7*'Datos CE e Socios'!$B$5</f>
        <v>145.57518776362051</v>
      </c>
      <c r="S4" s="1130">
        <f>'Conta explotación'!W7*'Datos CE e Socios'!$B$5</f>
        <v>150.08801858429274</v>
      </c>
      <c r="T4" s="1130">
        <f>'Conta explotación'!X7*'Datos CE e Socios'!$B$5</f>
        <v>154.74074716040579</v>
      </c>
      <c r="U4" s="1130">
        <f>'Conta explotación'!Y7*'Datos CE e Socios'!$B$5</f>
        <v>159.53771032237836</v>
      </c>
      <c r="V4" s="1130">
        <f>'Conta explotación'!Z7*'Datos CE e Socios'!$B$5</f>
        <v>164.48337934237207</v>
      </c>
      <c r="W4" s="1130">
        <f>'Conta explotación'!AA7*'Datos CE e Socios'!$B$5</f>
        <v>169.58236410198558</v>
      </c>
      <c r="X4" s="1130">
        <f>'Conta explotación'!AB7*'Datos CE e Socios'!$B$5</f>
        <v>174.83941738914714</v>
      </c>
      <c r="Y4" s="1130">
        <f>'Conta explotación'!AC7*'Datos CE e Socios'!$B$5</f>
        <v>180.25943932821068</v>
      </c>
      <c r="Z4" s="1130">
        <f>'Conta explotación'!AD7*'Datos CE e Socios'!$B$5</f>
        <v>185.84748194738521</v>
      </c>
      <c r="AA4" s="1072">
        <f>SUM(B4:Z4)</f>
        <v>3299.6372221856268</v>
      </c>
    </row>
    <row r="5" spans="1:29" x14ac:dyDescent="0.35">
      <c r="A5" s="779" t="s">
        <v>1088</v>
      </c>
      <c r="B5" s="1130">
        <f>'Conta explotación'!F8*'Datos CE e Socios'!$B$5</f>
        <v>0</v>
      </c>
      <c r="C5" s="1130">
        <f>'Conta explotación'!G8*'Datos CE e Socios'!$B$5</f>
        <v>0</v>
      </c>
      <c r="D5" s="1130">
        <f>'Conta explotación'!H8*'Datos CE e Socios'!$B$5</f>
        <v>0</v>
      </c>
      <c r="E5" s="1130">
        <f>'Conta explotación'!I8*'Datos CE e Socios'!$B$5</f>
        <v>0</v>
      </c>
      <c r="F5" s="1130">
        <f>'Conta explotación'!J8*'Datos CE e Socios'!$B$5</f>
        <v>0</v>
      </c>
      <c r="G5" s="1130">
        <f>'Conta explotación'!K8*'Datos CE e Socios'!$B$5</f>
        <v>0</v>
      </c>
      <c r="H5" s="1130">
        <f>'Conta explotación'!L8*'Datos CE e Socios'!$B$5</f>
        <v>0</v>
      </c>
      <c r="I5" s="1130">
        <f>'Conta explotación'!M8*'Datos CE e Socios'!$B$5</f>
        <v>0</v>
      </c>
      <c r="J5" s="1130">
        <f>'Conta explotación'!N8*'Datos CE e Socios'!$B$5</f>
        <v>0</v>
      </c>
      <c r="K5" s="1130">
        <f>'Conta explotación'!O8*'Datos CE e Socios'!$B$5</f>
        <v>0</v>
      </c>
      <c r="L5" s="1130">
        <f>'Conta explotación'!P8*'Datos CE e Socios'!$B$5</f>
        <v>0</v>
      </c>
      <c r="M5" s="1130">
        <f>'Conta explotación'!Q8*'Datos CE e Socios'!$B$5</f>
        <v>0</v>
      </c>
      <c r="N5" s="1130">
        <f>'Conta explotación'!R8*'Datos CE e Socios'!$B$5</f>
        <v>0</v>
      </c>
      <c r="O5" s="1130">
        <f>'Conta explotación'!S8*'Datos CE e Socios'!$B$5</f>
        <v>0</v>
      </c>
      <c r="P5" s="1130">
        <f>'Conta explotación'!T8*'Datos CE e Socios'!$B$5</f>
        <v>0</v>
      </c>
      <c r="Q5" s="1130">
        <f>'Conta explotación'!U8*'Datos CE e Socios'!$B$5</f>
        <v>0</v>
      </c>
      <c r="R5" s="1130">
        <f>'Conta explotación'!V8*'Datos CE e Socios'!$B$5</f>
        <v>0</v>
      </c>
      <c r="S5" s="1130">
        <f>'Conta explotación'!W8*'Datos CE e Socios'!$B$5</f>
        <v>0</v>
      </c>
      <c r="T5" s="1130">
        <f>'Conta explotación'!X8*'Datos CE e Socios'!$B$5</f>
        <v>0</v>
      </c>
      <c r="U5" s="1130">
        <f>'Conta explotación'!Y8*'Datos CE e Socios'!$B$5</f>
        <v>0</v>
      </c>
      <c r="V5" s="1130">
        <f>'Conta explotación'!Z8*'Datos CE e Socios'!$B$5</f>
        <v>0</v>
      </c>
      <c r="W5" s="1130">
        <f>'Conta explotación'!AA8*'Datos CE e Socios'!$B$5</f>
        <v>0</v>
      </c>
      <c r="X5" s="1130">
        <f>'Conta explotación'!AB8*'Datos CE e Socios'!$B$5</f>
        <v>0</v>
      </c>
      <c r="Y5" s="1130">
        <f>'Conta explotación'!AC8*'Datos CE e Socios'!$B$5</f>
        <v>0</v>
      </c>
      <c r="Z5" s="1130">
        <f>'Conta explotación'!AD8*'Datos CE e Socios'!$B$5</f>
        <v>0</v>
      </c>
      <c r="AA5" s="1072">
        <f>SUM(B5:Z5)</f>
        <v>0</v>
      </c>
    </row>
    <row r="6" spans="1:29" x14ac:dyDescent="0.35">
      <c r="A6" s="779" t="s">
        <v>1056</v>
      </c>
      <c r="B6" s="1130">
        <f>'Datos CE e Socios'!$C$14*'Datos CE e Socios'!$B$5</f>
        <v>0</v>
      </c>
      <c r="C6" s="1130">
        <f>B6*(1+'Hipóteses xerais (2)'!$C$40)</f>
        <v>0</v>
      </c>
      <c r="D6" s="1130">
        <f>C6*(1+'Hipóteses xerais (2)'!$C$40)</f>
        <v>0</v>
      </c>
      <c r="E6" s="1130">
        <f>D6*(1+'Hipóteses xerais (2)'!$C$40)</f>
        <v>0</v>
      </c>
      <c r="F6" s="1130">
        <f>E6*(1+'Hipóteses xerais (2)'!$C$40)</f>
        <v>0</v>
      </c>
      <c r="G6" s="1130">
        <f>F6*(1+'Hipóteses xerais (2)'!$C$40)</f>
        <v>0</v>
      </c>
      <c r="H6" s="1130">
        <f>G6*(1+'Hipóteses xerais (2)'!$C$40)</f>
        <v>0</v>
      </c>
      <c r="I6" s="1130">
        <f>H6*(1+'Hipóteses xerais (2)'!$C$40)</f>
        <v>0</v>
      </c>
      <c r="J6" s="1130">
        <f>I6*(1+'Hipóteses xerais (2)'!$C$40)</f>
        <v>0</v>
      </c>
      <c r="K6" s="1130">
        <f>J6*(1+'Hipóteses xerais (2)'!$C$40)</f>
        <v>0</v>
      </c>
      <c r="L6" s="1130">
        <f>K6*(1+'Hipóteses xerais (2)'!$C$40)</f>
        <v>0</v>
      </c>
      <c r="M6" s="1130">
        <f>L6*(1+'Hipóteses xerais (2)'!$C$40)</f>
        <v>0</v>
      </c>
      <c r="N6" s="1130">
        <f>M6*(1+'Hipóteses xerais (2)'!$C$40)</f>
        <v>0</v>
      </c>
      <c r="O6" s="1130">
        <f>N6*(1+'Hipóteses xerais (2)'!$C$40)</f>
        <v>0</v>
      </c>
      <c r="P6" s="1130">
        <f>O6*(1+'Hipóteses xerais (2)'!$C$40)</f>
        <v>0</v>
      </c>
      <c r="Q6" s="1130">
        <f>P6*(1+'Hipóteses xerais (2)'!$C$40)</f>
        <v>0</v>
      </c>
      <c r="R6" s="1130">
        <f>Q6*(1+'Hipóteses xerais (2)'!$C$40)</f>
        <v>0</v>
      </c>
      <c r="S6" s="1130">
        <f>R6*(1+'Hipóteses xerais (2)'!$C$40)</f>
        <v>0</v>
      </c>
      <c r="T6" s="1130">
        <f>S6*(1+'Hipóteses xerais (2)'!$C$40)</f>
        <v>0</v>
      </c>
      <c r="U6" s="1130">
        <f>T6*(1+'Hipóteses xerais (2)'!$C$40)</f>
        <v>0</v>
      </c>
      <c r="V6" s="1130">
        <f>U6*(1+'Hipóteses xerais (2)'!$C$40)</f>
        <v>0</v>
      </c>
      <c r="W6" s="1130">
        <f>V6*(1+'Hipóteses xerais (2)'!$C$40)</f>
        <v>0</v>
      </c>
      <c r="X6" s="1130">
        <f>W6*(1+'Hipóteses xerais (2)'!$C$40)</f>
        <v>0</v>
      </c>
      <c r="Y6" s="1130">
        <f>X6*(1+'Hipóteses xerais (2)'!$C$40)</f>
        <v>0</v>
      </c>
      <c r="Z6" s="1130">
        <f>Y6*(1+'Hipóteses xerais (2)'!$C$40)</f>
        <v>0</v>
      </c>
      <c r="AA6" s="1072">
        <f>SUM(B6:Z6)</f>
        <v>0</v>
      </c>
    </row>
    <row r="7" spans="1:29" ht="15" thickBot="1" x14ac:dyDescent="0.4">
      <c r="A7" s="919" t="s">
        <v>1055</v>
      </c>
      <c r="B7" s="1069">
        <f>'Datos CE e Socios'!$C$15*'Datos CE e Socios'!$B$5</f>
        <v>0</v>
      </c>
      <c r="C7" s="1069">
        <f>B7*(1+'Hipóteses xerais (2)'!$C$40)</f>
        <v>0</v>
      </c>
      <c r="D7" s="1069">
        <f>C7*(1+'Hipóteses xerais (2)'!$C$40)</f>
        <v>0</v>
      </c>
      <c r="E7" s="1069">
        <f>D7*(1+'Hipóteses xerais (2)'!$C$40)</f>
        <v>0</v>
      </c>
      <c r="F7" s="1069">
        <f>E7*(1+'Hipóteses xerais (2)'!$C$40)</f>
        <v>0</v>
      </c>
      <c r="G7" s="1069">
        <f>F7*(1+'Hipóteses xerais (2)'!$C$40)</f>
        <v>0</v>
      </c>
      <c r="H7" s="1069">
        <f>G7*(1+'Hipóteses xerais (2)'!$C$40)</f>
        <v>0</v>
      </c>
      <c r="I7" s="1069">
        <f>H7*(1+'Hipóteses xerais (2)'!$C$40)</f>
        <v>0</v>
      </c>
      <c r="J7" s="1069">
        <f>I7*(1+'Hipóteses xerais (2)'!$C$40)</f>
        <v>0</v>
      </c>
      <c r="K7" s="1069">
        <f>J7*(1+'Hipóteses xerais (2)'!$C$40)</f>
        <v>0</v>
      </c>
      <c r="L7" s="1069">
        <f>K7*(1+'Hipóteses xerais (2)'!$C$40)</f>
        <v>0</v>
      </c>
      <c r="M7" s="1069">
        <f>L7*(1+'Hipóteses xerais (2)'!$C$40)</f>
        <v>0</v>
      </c>
      <c r="N7" s="1069">
        <f>M7*(1+'Hipóteses xerais (2)'!$C$40)</f>
        <v>0</v>
      </c>
      <c r="O7" s="1069">
        <f>N7*(1+'Hipóteses xerais (2)'!$C$40)</f>
        <v>0</v>
      </c>
      <c r="P7" s="1069">
        <f>O7*(1+'Hipóteses xerais (2)'!$C$40)</f>
        <v>0</v>
      </c>
      <c r="Q7" s="1069">
        <f>P7*(1+'Hipóteses xerais (2)'!$C$40)</f>
        <v>0</v>
      </c>
      <c r="R7" s="1069">
        <f>Q7*(1+'Hipóteses xerais (2)'!$C$40)</f>
        <v>0</v>
      </c>
      <c r="S7" s="1069">
        <f>R7*(1+'Hipóteses xerais (2)'!$C$40)</f>
        <v>0</v>
      </c>
      <c r="T7" s="1069">
        <f>S7*(1+'Hipóteses xerais (2)'!$C$40)</f>
        <v>0</v>
      </c>
      <c r="U7" s="1069">
        <f>T7*(1+'Hipóteses xerais (2)'!$C$40)</f>
        <v>0</v>
      </c>
      <c r="V7" s="1069">
        <f>U7*(1+'Hipóteses xerais (2)'!$C$40)</f>
        <v>0</v>
      </c>
      <c r="W7" s="1069">
        <f>V7*(1+'Hipóteses xerais (2)'!$C$40)</f>
        <v>0</v>
      </c>
      <c r="X7" s="1069">
        <f>W7*(1+'Hipóteses xerais (2)'!$C$40)</f>
        <v>0</v>
      </c>
      <c r="Y7" s="1069">
        <f>X7*(1+'Hipóteses xerais (2)'!$C$40)</f>
        <v>0</v>
      </c>
      <c r="Z7" s="1069">
        <f>Y7*(1+'Hipóteses xerais (2)'!$C$40)</f>
        <v>0</v>
      </c>
      <c r="AA7" s="1067">
        <f>SUM(B7:Z7)</f>
        <v>0</v>
      </c>
    </row>
    <row r="8" spans="1:29" s="13" customFormat="1" ht="15" thickBot="1" x14ac:dyDescent="0.4">
      <c r="A8" s="606" t="s">
        <v>1087</v>
      </c>
      <c r="B8" s="1113">
        <f t="shared" ref="B8:AA8" si="0">SUM(B3:B7)</f>
        <v>267.96000000000004</v>
      </c>
      <c r="C8" s="1113">
        <f t="shared" si="0"/>
        <v>276.26675999999998</v>
      </c>
      <c r="D8" s="1113">
        <f t="shared" si="0"/>
        <v>284.83102955999999</v>
      </c>
      <c r="E8" s="1113">
        <f t="shared" si="0"/>
        <v>293.66079147635992</v>
      </c>
      <c r="F8" s="1113">
        <f t="shared" si="0"/>
        <v>302.76427601212703</v>
      </c>
      <c r="G8" s="1113">
        <f t="shared" si="0"/>
        <v>312.14996856850291</v>
      </c>
      <c r="H8" s="1113">
        <f t="shared" si="0"/>
        <v>321.8266175941265</v>
      </c>
      <c r="I8" s="1113">
        <f t="shared" si="0"/>
        <v>331.80324273954443</v>
      </c>
      <c r="J8" s="1113">
        <f t="shared" si="0"/>
        <v>342.08914326447024</v>
      </c>
      <c r="K8" s="1113">
        <f t="shared" si="0"/>
        <v>352.69390670566878</v>
      </c>
      <c r="L8" s="1113">
        <f t="shared" si="0"/>
        <v>363.62741781354453</v>
      </c>
      <c r="M8" s="1113">
        <f t="shared" si="0"/>
        <v>374.89986776576438</v>
      </c>
      <c r="N8" s="1113">
        <f t="shared" si="0"/>
        <v>386.52176366650303</v>
      </c>
      <c r="O8" s="1113">
        <f t="shared" si="0"/>
        <v>398.50393834016461</v>
      </c>
      <c r="P8" s="1113">
        <f t="shared" si="0"/>
        <v>410.85756042870963</v>
      </c>
      <c r="Q8" s="1113">
        <f t="shared" si="0"/>
        <v>423.59414480199962</v>
      </c>
      <c r="R8" s="1113">
        <f t="shared" si="0"/>
        <v>436.72556329086149</v>
      </c>
      <c r="S8" s="1113">
        <f t="shared" si="0"/>
        <v>450.26405575287822</v>
      </c>
      <c r="T8" s="1113">
        <f t="shared" si="0"/>
        <v>464.22224148121734</v>
      </c>
      <c r="U8" s="1113">
        <f t="shared" si="0"/>
        <v>478.61313096713508</v>
      </c>
      <c r="V8" s="1113">
        <f t="shared" si="0"/>
        <v>493.45013802711622</v>
      </c>
      <c r="W8" s="1113">
        <f t="shared" si="0"/>
        <v>508.7470923059567</v>
      </c>
      <c r="X8" s="1113">
        <f t="shared" si="0"/>
        <v>524.51825216744146</v>
      </c>
      <c r="Y8" s="1113">
        <f t="shared" si="0"/>
        <v>540.77831798463205</v>
      </c>
      <c r="Z8" s="1113">
        <f t="shared" si="0"/>
        <v>557.54244584215564</v>
      </c>
      <c r="AA8" s="1129">
        <f t="shared" si="0"/>
        <v>9898.9116665568799</v>
      </c>
      <c r="AB8" s="1120"/>
      <c r="AC8" s="1120"/>
    </row>
    <row r="9" spans="1:29" x14ac:dyDescent="0.35">
      <c r="AA9" s="1014"/>
    </row>
    <row r="10" spans="1:29" ht="15" thickBot="1" x14ac:dyDescent="0.4">
      <c r="AA10" s="1014"/>
    </row>
    <row r="11" spans="1:29" ht="15.5" thickTop="1" thickBot="1" x14ac:dyDescent="0.4">
      <c r="B11" s="1128">
        <v>1</v>
      </c>
      <c r="C11" s="1127">
        <v>2</v>
      </c>
      <c r="D11" s="1127">
        <v>3</v>
      </c>
      <c r="E11" s="1127">
        <v>4</v>
      </c>
      <c r="F11" s="1127">
        <v>5</v>
      </c>
      <c r="G11" s="1127">
        <v>6</v>
      </c>
      <c r="H11" s="1127">
        <v>7</v>
      </c>
      <c r="I11" s="1127">
        <v>8</v>
      </c>
      <c r="J11" s="1127">
        <v>9</v>
      </c>
      <c r="K11" s="1127">
        <v>10</v>
      </c>
      <c r="L11" s="1127">
        <v>11</v>
      </c>
      <c r="M11" s="1127">
        <v>12</v>
      </c>
      <c r="N11" s="1127">
        <v>13</v>
      </c>
      <c r="O11" s="1127">
        <v>14</v>
      </c>
      <c r="P11" s="1127">
        <v>15</v>
      </c>
      <c r="Q11" s="1127">
        <v>16</v>
      </c>
      <c r="R11" s="1127">
        <v>17</v>
      </c>
      <c r="S11" s="1127">
        <v>18</v>
      </c>
      <c r="T11" s="1127">
        <v>19</v>
      </c>
      <c r="U11" s="1127">
        <v>20</v>
      </c>
      <c r="V11" s="1127">
        <v>21</v>
      </c>
      <c r="W11" s="1127">
        <v>22</v>
      </c>
      <c r="X11" s="1127">
        <v>23</v>
      </c>
      <c r="Y11" s="1127">
        <v>24</v>
      </c>
      <c r="Z11" s="1127">
        <v>25</v>
      </c>
      <c r="AA11" s="1126" t="s">
        <v>1086</v>
      </c>
    </row>
    <row r="12" spans="1:29" ht="15" thickBot="1" x14ac:dyDescent="0.4">
      <c r="B12" s="1125">
        <v>2025</v>
      </c>
      <c r="C12" s="65">
        <v>2026</v>
      </c>
      <c r="D12" s="65">
        <v>2027</v>
      </c>
      <c r="E12" s="65">
        <v>2028</v>
      </c>
      <c r="F12" s="65">
        <v>2029</v>
      </c>
      <c r="G12" s="65">
        <v>2030</v>
      </c>
      <c r="H12" s="65">
        <v>2031</v>
      </c>
      <c r="I12" s="65">
        <v>2032</v>
      </c>
      <c r="J12" s="65">
        <v>2033</v>
      </c>
      <c r="K12" s="65">
        <v>2034</v>
      </c>
      <c r="L12" s="65">
        <v>2035</v>
      </c>
      <c r="M12" s="65">
        <v>2036</v>
      </c>
      <c r="N12" s="65">
        <v>2037</v>
      </c>
      <c r="O12" s="65">
        <v>2038</v>
      </c>
      <c r="P12" s="65">
        <v>2039</v>
      </c>
      <c r="Q12" s="65">
        <v>2040</v>
      </c>
      <c r="R12" s="65">
        <v>2041</v>
      </c>
      <c r="S12" s="65">
        <v>2042</v>
      </c>
      <c r="T12" s="65">
        <v>2043</v>
      </c>
      <c r="U12" s="65">
        <v>2044</v>
      </c>
      <c r="V12" s="65">
        <v>2045</v>
      </c>
      <c r="W12" s="65">
        <v>2046</v>
      </c>
      <c r="X12" s="65">
        <v>2047</v>
      </c>
      <c r="Y12" s="65">
        <v>2048</v>
      </c>
      <c r="Z12" s="65">
        <v>2049</v>
      </c>
      <c r="AA12" s="1124" t="s">
        <v>1085</v>
      </c>
    </row>
    <row r="13" spans="1:29" s="13" customFormat="1" x14ac:dyDescent="0.35">
      <c r="A13" s="1136" t="str">
        <f>'Conta explotación'!C10</f>
        <v>Cota Extra Inicial (Só Primeiro Ano)</v>
      </c>
      <c r="B13" s="1122">
        <f>'Conta explotación'!F10*'Datos CE e Socios'!$B$5</f>
        <v>0</v>
      </c>
      <c r="C13" s="1122">
        <f>'Conta explotación'!G10*'Datos CE e Socios'!$B$5</f>
        <v>0</v>
      </c>
      <c r="D13" s="1122">
        <f>'Conta explotación'!H10*'Datos CE e Socios'!$B$5</f>
        <v>0</v>
      </c>
      <c r="E13" s="1122">
        <f>'Conta explotación'!I10*'Datos CE e Socios'!$B$5</f>
        <v>0</v>
      </c>
      <c r="F13" s="1122">
        <f>'Conta explotación'!J10*'Datos CE e Socios'!$B$5</f>
        <v>0</v>
      </c>
      <c r="G13" s="1122">
        <f>'Conta explotación'!K10*'Datos CE e Socios'!$B$5</f>
        <v>0</v>
      </c>
      <c r="H13" s="1122">
        <f>'Conta explotación'!L10*'Datos CE e Socios'!$B$5</f>
        <v>0</v>
      </c>
      <c r="I13" s="1122">
        <f>'Conta explotación'!M10*'Datos CE e Socios'!$B$5</f>
        <v>0</v>
      </c>
      <c r="J13" s="1122">
        <f>'Conta explotación'!N10*'Datos CE e Socios'!$B$5</f>
        <v>0</v>
      </c>
      <c r="K13" s="1122">
        <f>'Conta explotación'!O10*'Datos CE e Socios'!$B$5</f>
        <v>0</v>
      </c>
      <c r="L13" s="1122">
        <f>'Conta explotación'!P10*'Datos CE e Socios'!$B$5</f>
        <v>0</v>
      </c>
      <c r="M13" s="1122">
        <f>'Conta explotación'!Q10*'Datos CE e Socios'!$B$5</f>
        <v>0</v>
      </c>
      <c r="N13" s="1122">
        <f>'Conta explotación'!R10*'Datos CE e Socios'!$B$5</f>
        <v>0</v>
      </c>
      <c r="O13" s="1122">
        <f>'Conta explotación'!S10*'Datos CE e Socios'!$B$5</f>
        <v>0</v>
      </c>
      <c r="P13" s="1122">
        <f>'Conta explotación'!T10*'Datos CE e Socios'!$B$5</f>
        <v>0</v>
      </c>
      <c r="Q13" s="1122">
        <f>'Conta explotación'!U10*'Datos CE e Socios'!$B$5</f>
        <v>0</v>
      </c>
      <c r="R13" s="1122">
        <f>'Conta explotación'!V10*'Datos CE e Socios'!$B$5</f>
        <v>0</v>
      </c>
      <c r="S13" s="1122">
        <f>'Conta explotación'!W10*'Datos CE e Socios'!$B$5</f>
        <v>0</v>
      </c>
      <c r="T13" s="1122">
        <f>'Conta explotación'!X10*'Datos CE e Socios'!$B$5</f>
        <v>0</v>
      </c>
      <c r="U13" s="1122">
        <f>'Conta explotación'!Y10*'Datos CE e Socios'!$B$5</f>
        <v>0</v>
      </c>
      <c r="V13" s="1122">
        <f>'Conta explotación'!Z10*'Datos CE e Socios'!$B$5</f>
        <v>0</v>
      </c>
      <c r="W13" s="1122">
        <f>'Conta explotación'!AA10*'Datos CE e Socios'!$B$5</f>
        <v>0</v>
      </c>
      <c r="X13" s="1122">
        <f>'Conta explotación'!AB10*'Datos CE e Socios'!$B$5</f>
        <v>0</v>
      </c>
      <c r="Y13" s="1122">
        <f>'Conta explotación'!AC10*'Datos CE e Socios'!$B$5</f>
        <v>0</v>
      </c>
      <c r="Z13" s="1122">
        <f>'Conta explotación'!AD10*'Datos CE e Socios'!$B$5</f>
        <v>0</v>
      </c>
      <c r="AA13" s="1121">
        <f>SUM(B13:Z13)</f>
        <v>0</v>
      </c>
      <c r="AB13" s="1120"/>
      <c r="AC13" s="1120"/>
    </row>
    <row r="14" spans="1:29" x14ac:dyDescent="0.35">
      <c r="A14" s="1077" t="str">
        <f>'Conta explotación'!C11</f>
        <v>Cotas de Socios</v>
      </c>
      <c r="B14" s="1119">
        <f>'Conta explotación'!F$11/'Hipóteses xerais (2)'!$F$39</f>
        <v>98.818799999999996</v>
      </c>
      <c r="C14" s="1119">
        <f>'Conta explotación'!G$11/'Hipóteses xerais (2)'!$F$39</f>
        <v>98.4</v>
      </c>
      <c r="D14" s="1119">
        <f>'Conta explotación'!H$11/'Hipóteses xerais (2)'!$F$39</f>
        <v>102.98239999999998</v>
      </c>
      <c r="E14" s="1119">
        <f>'Conta explotación'!I$11/'Hipóteses xerais (2)'!$F$39</f>
        <v>107.71143680000002</v>
      </c>
      <c r="F14" s="1119">
        <f>'Conta explotación'!J$11/'Hipóteses xerais (2)'!$F$39</f>
        <v>112.59180277760001</v>
      </c>
      <c r="G14" s="1119">
        <f>'Conta explotación'!K$11/'Hipóteses xerais (2)'!$F$39</f>
        <v>117.62834046648321</v>
      </c>
      <c r="H14" s="1119">
        <f>'Conta explotación'!L$11/'Hipóteses xerais (2)'!$F$39</f>
        <v>122.82604736141067</v>
      </c>
      <c r="I14" s="1119">
        <f>'Conta explotación'!M$11/'Hipóteses xerais (2)'!$F$39</f>
        <v>128.1900808769758</v>
      </c>
      <c r="J14" s="1119">
        <f>'Conta explotación'!N$11/'Hipóteses xerais (2)'!$F$39</f>
        <v>133.72576346503908</v>
      </c>
      <c r="K14" s="1119">
        <f>'Conta explotación'!O$11/'Hipóteses xerais (2)'!$F$39</f>
        <v>139.43858789592031</v>
      </c>
      <c r="L14" s="1119">
        <f>'Conta explotación'!P$11/'Hipóteses xerais (2)'!$F$39</f>
        <v>145.33422270858978</v>
      </c>
      <c r="M14" s="1119">
        <f>'Conta explotación'!Q$11/'Hipóteses xerais (2)'!$F$39</f>
        <v>151.41851783526468</v>
      </c>
      <c r="N14" s="1119">
        <f>'Conta explotación'!R$11/'Hipóteses xerais (2)'!$F$39</f>
        <v>157.69751040599311</v>
      </c>
      <c r="O14" s="1119">
        <f>'Conta explotación'!S$11/'Hipóteses xerais (2)'!$F$39</f>
        <v>164.17743073898495</v>
      </c>
      <c r="P14" s="1119">
        <f>'Conta explotación'!T$11/'Hipóteses xerais (2)'!$F$39</f>
        <v>170.86470852263247</v>
      </c>
      <c r="Q14" s="1119">
        <f>'Conta explotación'!U$11/'Hipóteses xerais (2)'!$F$39</f>
        <v>177.76597919535669</v>
      </c>
      <c r="R14" s="1119">
        <f>'Conta explotación'!V$11/'Hipóteses xerais (2)'!$F$39</f>
        <v>184.88809052960812</v>
      </c>
      <c r="S14" s="1119">
        <f>'Conta explotación'!W$11/'Hipóteses xerais (2)'!$F$39</f>
        <v>192.23810942655555</v>
      </c>
      <c r="T14" s="1119">
        <f>'Conta explotación'!X$11/'Hipóteses xerais (2)'!$F$39</f>
        <v>199.8233289282054</v>
      </c>
      <c r="U14" s="1119">
        <f>'Conta explotación'!Y$11/'Hipóteses xerais (2)'!$F$39</f>
        <v>207.65127545390794</v>
      </c>
      <c r="V14" s="1119">
        <f>'Conta explotación'!Z$11/'Hipóteses xerais (2)'!$F$39</f>
        <v>215.72971626843304</v>
      </c>
      <c r="W14" s="1119">
        <f>'Conta explotación'!AA$11/'Hipóteses xerais (2)'!$F$39</f>
        <v>224.06666718902289</v>
      </c>
      <c r="X14" s="1119">
        <f>'Conta explotación'!AB$11/'Hipóteses xerais (2)'!$F$39</f>
        <v>232.67040053907164</v>
      </c>
      <c r="Y14" s="1119">
        <f>'Conta explotación'!AC$11/'Hipóteses xerais (2)'!$F$39</f>
        <v>241.54945335632186</v>
      </c>
      <c r="Z14" s="1119">
        <f>'Conta explotación'!AD$11/'Hipóteses xerais (2)'!$F$39</f>
        <v>250.71263586372424</v>
      </c>
      <c r="AA14" s="1118">
        <f>SUM(B14:Z14)</f>
        <v>4078.901306605102</v>
      </c>
    </row>
    <row r="15" spans="1:29" ht="15" thickBot="1" x14ac:dyDescent="0.4">
      <c r="A15" s="1117" t="s">
        <v>1084</v>
      </c>
      <c r="B15" s="1116">
        <f>'Conta explotación'!F12*'Datos CE e Socios'!$B$5</f>
        <v>0</v>
      </c>
      <c r="C15" s="1116">
        <f>'Conta explotación'!G12*'Datos CE e Socios'!$B$5</f>
        <v>0</v>
      </c>
      <c r="D15" s="1116">
        <f>'Conta explotación'!H12*'Datos CE e Socios'!$B$5</f>
        <v>0</v>
      </c>
      <c r="E15" s="1116">
        <f>'Conta explotación'!I12*'Datos CE e Socios'!$B$5</f>
        <v>0</v>
      </c>
      <c r="F15" s="1116">
        <f>'Conta explotación'!J12*'Datos CE e Socios'!$B$5</f>
        <v>0</v>
      </c>
      <c r="G15" s="1116">
        <f>'Conta explotación'!K12*'Datos CE e Socios'!$B$5</f>
        <v>0</v>
      </c>
      <c r="H15" s="1116">
        <f>'Conta explotación'!L12*'Datos CE e Socios'!$B$5</f>
        <v>0</v>
      </c>
      <c r="I15" s="1116">
        <f>'Conta explotación'!M12*'Datos CE e Socios'!$B$5</f>
        <v>0</v>
      </c>
      <c r="J15" s="1116">
        <f>'Conta explotación'!N12*'Datos CE e Socios'!$B$5</f>
        <v>0</v>
      </c>
      <c r="K15" s="1116">
        <f>'Conta explotación'!O12*'Datos CE e Socios'!$B$5</f>
        <v>0</v>
      </c>
      <c r="L15" s="1116">
        <f>'Conta explotación'!P12*'Datos CE e Socios'!$B$5</f>
        <v>0</v>
      </c>
      <c r="M15" s="1116">
        <f>'Conta explotación'!Q12*'Datos CE e Socios'!$B$5</f>
        <v>0</v>
      </c>
      <c r="N15" s="1116">
        <f>'Conta explotación'!R12*'Datos CE e Socios'!$B$5</f>
        <v>0</v>
      </c>
      <c r="O15" s="1116">
        <f>'Conta explotación'!S12*'Datos CE e Socios'!$B$5</f>
        <v>0</v>
      </c>
      <c r="P15" s="1116">
        <f>'Conta explotación'!T12*'Datos CE e Socios'!$B$5</f>
        <v>0</v>
      </c>
      <c r="Q15" s="1116">
        <f>'Conta explotación'!U12*'Datos CE e Socios'!$B$5</f>
        <v>0</v>
      </c>
      <c r="R15" s="1116">
        <f>'Conta explotación'!V12*'Datos CE e Socios'!$B$5</f>
        <v>0</v>
      </c>
      <c r="S15" s="1116">
        <f>'Conta explotación'!W12*'Datos CE e Socios'!$B$5</f>
        <v>0</v>
      </c>
      <c r="T15" s="1116">
        <f>'Conta explotación'!X12*'Datos CE e Socios'!$B$5</f>
        <v>0</v>
      </c>
      <c r="U15" s="1116">
        <f>'Conta explotación'!Y12*'Datos CE e Socios'!$B$5</f>
        <v>0</v>
      </c>
      <c r="V15" s="1116">
        <f>'Conta explotación'!Z12*'Datos CE e Socios'!$B$5</f>
        <v>0</v>
      </c>
      <c r="W15" s="1116">
        <f>'Conta explotación'!AA12*'Datos CE e Socios'!$B$5</f>
        <v>0</v>
      </c>
      <c r="X15" s="1116">
        <f>'Conta explotación'!AB12*'Datos CE e Socios'!$B$5</f>
        <v>0</v>
      </c>
      <c r="Y15" s="1116">
        <f>'Conta explotación'!AC12*'Datos CE e Socios'!$B$5</f>
        <v>0</v>
      </c>
      <c r="Z15" s="1116">
        <f>'Conta explotación'!AD12*'Datos CE e Socios'!$B$5</f>
        <v>0</v>
      </c>
      <c r="AA15" s="1115">
        <f>SUM(B15:Z15)</f>
        <v>0</v>
      </c>
    </row>
    <row r="16" spans="1:29" s="13" customFormat="1" ht="15" thickBot="1" x14ac:dyDescent="0.4">
      <c r="A16" s="611" t="s">
        <v>1083</v>
      </c>
      <c r="B16" s="1114">
        <f t="shared" ref="B16:Z16" si="1">SUM(B13:B15)</f>
        <v>98.818799999999996</v>
      </c>
      <c r="C16" s="1113">
        <f t="shared" si="1"/>
        <v>98.4</v>
      </c>
      <c r="D16" s="1113">
        <f t="shared" si="1"/>
        <v>102.98239999999998</v>
      </c>
      <c r="E16" s="1113">
        <f t="shared" si="1"/>
        <v>107.71143680000002</v>
      </c>
      <c r="F16" s="1113">
        <f t="shared" si="1"/>
        <v>112.59180277760001</v>
      </c>
      <c r="G16" s="1113">
        <f t="shared" si="1"/>
        <v>117.62834046648321</v>
      </c>
      <c r="H16" s="1113">
        <f t="shared" si="1"/>
        <v>122.82604736141067</v>
      </c>
      <c r="I16" s="1113">
        <f t="shared" si="1"/>
        <v>128.1900808769758</v>
      </c>
      <c r="J16" s="1113">
        <f t="shared" si="1"/>
        <v>133.72576346503908</v>
      </c>
      <c r="K16" s="1113">
        <f t="shared" si="1"/>
        <v>139.43858789592031</v>
      </c>
      <c r="L16" s="1113">
        <f t="shared" si="1"/>
        <v>145.33422270858978</v>
      </c>
      <c r="M16" s="1113">
        <f t="shared" si="1"/>
        <v>151.41851783526468</v>
      </c>
      <c r="N16" s="1113">
        <f t="shared" si="1"/>
        <v>157.69751040599311</v>
      </c>
      <c r="O16" s="1113">
        <f t="shared" si="1"/>
        <v>164.17743073898495</v>
      </c>
      <c r="P16" s="1113">
        <f t="shared" si="1"/>
        <v>170.86470852263247</v>
      </c>
      <c r="Q16" s="1113">
        <f t="shared" si="1"/>
        <v>177.76597919535669</v>
      </c>
      <c r="R16" s="1113">
        <f t="shared" si="1"/>
        <v>184.88809052960812</v>
      </c>
      <c r="S16" s="1113">
        <f t="shared" si="1"/>
        <v>192.23810942655555</v>
      </c>
      <c r="T16" s="1113">
        <f t="shared" si="1"/>
        <v>199.8233289282054</v>
      </c>
      <c r="U16" s="1113">
        <f t="shared" si="1"/>
        <v>207.65127545390794</v>
      </c>
      <c r="V16" s="1113">
        <f t="shared" si="1"/>
        <v>215.72971626843304</v>
      </c>
      <c r="W16" s="1113">
        <f t="shared" si="1"/>
        <v>224.06666718902289</v>
      </c>
      <c r="X16" s="1113">
        <f t="shared" si="1"/>
        <v>232.67040053907164</v>
      </c>
      <c r="Y16" s="1113">
        <f t="shared" si="1"/>
        <v>241.54945335632186</v>
      </c>
      <c r="Z16" s="1113">
        <f t="shared" si="1"/>
        <v>250.71263586372424</v>
      </c>
      <c r="AA16" s="1112">
        <f>SUM(B16:Z16)</f>
        <v>4078.901306605102</v>
      </c>
    </row>
    <row r="17" spans="1:27" ht="15" thickBot="1" x14ac:dyDescent="0.4">
      <c r="AA17" s="1014"/>
    </row>
    <row r="18" spans="1:27" ht="17" thickTop="1" thickBot="1" x14ac:dyDescent="0.55000000000000004">
      <c r="A18" s="1111" t="s">
        <v>1094</v>
      </c>
      <c r="B18" s="1110">
        <f t="shared" ref="B18:Z18" si="2">B8-B16</f>
        <v>169.14120000000003</v>
      </c>
      <c r="C18" s="1109">
        <f t="shared" si="2"/>
        <v>177.86675999999997</v>
      </c>
      <c r="D18" s="1109">
        <f t="shared" si="2"/>
        <v>181.84862956000001</v>
      </c>
      <c r="E18" s="1109">
        <f t="shared" si="2"/>
        <v>185.94935467635992</v>
      </c>
      <c r="F18" s="1109">
        <f t="shared" si="2"/>
        <v>190.17247323452702</v>
      </c>
      <c r="G18" s="1109">
        <f t="shared" si="2"/>
        <v>194.52162810201969</v>
      </c>
      <c r="H18" s="1109">
        <f t="shared" si="2"/>
        <v>199.00057023271583</v>
      </c>
      <c r="I18" s="1109">
        <f t="shared" si="2"/>
        <v>203.61316186256863</v>
      </c>
      <c r="J18" s="1109">
        <f t="shared" si="2"/>
        <v>208.36337979943116</v>
      </c>
      <c r="K18" s="1109">
        <f t="shared" si="2"/>
        <v>213.25531880974847</v>
      </c>
      <c r="L18" s="1109">
        <f t="shared" si="2"/>
        <v>218.29319510495475</v>
      </c>
      <c r="M18" s="1109">
        <f t="shared" si="2"/>
        <v>223.4813499304997</v>
      </c>
      <c r="N18" s="1109">
        <f t="shared" si="2"/>
        <v>228.82425326050992</v>
      </c>
      <c r="O18" s="1109">
        <f t="shared" si="2"/>
        <v>234.32650760117966</v>
      </c>
      <c r="P18" s="1109">
        <f t="shared" si="2"/>
        <v>239.99285190607716</v>
      </c>
      <c r="Q18" s="1109">
        <f t="shared" si="2"/>
        <v>245.82816560664293</v>
      </c>
      <c r="R18" s="1109">
        <f t="shared" si="2"/>
        <v>251.83747276125337</v>
      </c>
      <c r="S18" s="1109">
        <f t="shared" si="2"/>
        <v>258.0259463263227</v>
      </c>
      <c r="T18" s="1109">
        <f t="shared" si="2"/>
        <v>264.39891255301194</v>
      </c>
      <c r="U18" s="1109">
        <f t="shared" si="2"/>
        <v>270.96185551322714</v>
      </c>
      <c r="V18" s="1109">
        <f t="shared" si="2"/>
        <v>277.72042175868319</v>
      </c>
      <c r="W18" s="1109">
        <f t="shared" si="2"/>
        <v>284.6804251169338</v>
      </c>
      <c r="X18" s="1109">
        <f t="shared" si="2"/>
        <v>291.84785162836982</v>
      </c>
      <c r="Y18" s="1109">
        <f t="shared" si="2"/>
        <v>299.22886462831019</v>
      </c>
      <c r="Z18" s="1108">
        <f t="shared" si="2"/>
        <v>306.8298099784314</v>
      </c>
      <c r="AA18" s="1135">
        <f>SUM(B18:Z18)</f>
        <v>5820.0103599517788</v>
      </c>
    </row>
    <row r="19" spans="1:27" ht="15" thickTop="1" x14ac:dyDescent="0.35">
      <c r="A19" t="s">
        <v>1081</v>
      </c>
      <c r="B19" s="150">
        <f>B18/((1+'Hipóteses xerais (2)'!$C$33)^(B11))</f>
        <v>163.80921020773815</v>
      </c>
      <c r="C19" s="150">
        <f>C18/((1+'Hipóteses xerais (2)'!$C$33)^(C11))</f>
        <v>166.82940927968698</v>
      </c>
      <c r="D19" s="150">
        <f>D18/((1+'Hipóteses xerais (2)'!$C$33)^(D11))</f>
        <v>165.18733984202825</v>
      </c>
      <c r="E19" s="150">
        <f>E18/((1+'Hipóteses xerais (2)'!$C$33)^(E11))</f>
        <v>163.58757381821513</v>
      </c>
      <c r="F19" s="150">
        <f>F18/((1+'Hipóteses xerais (2)'!$C$33)^(F11))</f>
        <v>162.02879398940539</v>
      </c>
      <c r="G19" s="150">
        <f>G18/((1+'Hipóteses xerais (2)'!$C$33)^(G11))</f>
        <v>160.50972463494111</v>
      </c>
      <c r="H19" s="150">
        <f>H18/((1+'Hipóteses xerais (2)'!$C$33)^(H11))</f>
        <v>159.02913022420353</v>
      </c>
      <c r="I19" s="150">
        <f>I18/((1+'Hipóteses xerais (2)'!$C$33)^(I11))</f>
        <v>157.58581414970536</v>
      </c>
      <c r="J19" s="150">
        <f>J18/((1+'Hipóteses xerais (2)'!$C$33)^(J11))</f>
        <v>156.17861750012113</v>
      </c>
      <c r="K19" s="150">
        <f>K18/((1+'Hipóteses xerais (2)'!$C$33)^(K11))</f>
        <v>154.80641787199659</v>
      </c>
      <c r="L19" s="150">
        <f>L18/((1+'Hipóteses xerais (2)'!$C$33)^(L11))</f>
        <v>153.4681282189166</v>
      </c>
      <c r="M19" s="150">
        <f>M18/((1+'Hipóteses xerais (2)'!$C$33)^(M11))</f>
        <v>152.1626957369528</v>
      </c>
      <c r="N19" s="150">
        <f>N18/((1+'Hipóteses xerais (2)'!$C$33)^(N11))</f>
        <v>150.88910078524572</v>
      </c>
      <c r="O19" s="150">
        <f>O18/((1+'Hipóteses xerais (2)'!$C$33)^(O11))</f>
        <v>149.64635584061429</v>
      </c>
      <c r="P19" s="150">
        <f>P18/((1+'Hipóteses xerais (2)'!$C$33)^(P11))</f>
        <v>148.43350448512015</v>
      </c>
      <c r="Q19" s="150">
        <f>Q18/((1+'Hipóteses xerais (2)'!$C$33)^(Q11))</f>
        <v>147.24962042554799</v>
      </c>
      <c r="R19" s="150">
        <f>R18/((1+'Hipóteses xerais (2)'!$C$33)^(R11))</f>
        <v>146.09380654379507</v>
      </c>
      <c r="S19" s="150">
        <f>S18/((1+'Hipóteses xerais (2)'!$C$33)^(S11))</f>
        <v>144.96519397719712</v>
      </c>
      <c r="T19" s="150">
        <f>T18/((1+'Hipóteses xerais (2)'!$C$33)^(T11))</f>
        <v>143.86294122784435</v>
      </c>
      <c r="U19" s="150">
        <f>U18/((1+'Hipóteses xerais (2)'!$C$33)^(U11))</f>
        <v>142.78623329997731</v>
      </c>
      <c r="V19" s="150">
        <f>V18/((1+'Hipóteses xerais (2)'!$C$33)^(V11))</f>
        <v>141.73428086457309</v>
      </c>
      <c r="W19" s="150">
        <f>W18/((1+'Hipóteses xerais (2)'!$C$33)^(W11))</f>
        <v>140.70631945026881</v>
      </c>
      <c r="X19" s="150">
        <f>X18/((1+'Hipóteses xerais (2)'!$C$33)^(X11))</f>
        <v>139.70160865978912</v>
      </c>
      <c r="Y19" s="150">
        <f>Y18/((1+'Hipóteses xerais (2)'!$C$33)^(Y11))</f>
        <v>138.71943141107542</v>
      </c>
      <c r="Z19" s="150">
        <f>Z18/((1+'Hipóteses xerais (2)'!$C$33)^(Z11))</f>
        <v>137.75909320233751</v>
      </c>
      <c r="AA19" s="1106"/>
    </row>
    <row r="22" spans="1:27" x14ac:dyDescent="0.35">
      <c r="A22" s="1134" t="s">
        <v>1072</v>
      </c>
      <c r="B22" s="654"/>
    </row>
    <row r="23" spans="1:27" ht="29" x14ac:dyDescent="0.35">
      <c r="A23" s="1133" t="s">
        <v>1070</v>
      </c>
      <c r="B23" s="654"/>
    </row>
    <row r="25" spans="1:27" ht="15" thickBot="1" x14ac:dyDescent="0.4"/>
    <row r="26" spans="1:27" ht="15.5" thickTop="1" thickBot="1" x14ac:dyDescent="0.4">
      <c r="A26" s="1102" t="s">
        <v>1093</v>
      </c>
      <c r="B26" s="1101">
        <f>'Hipóteses xerais (2)'!$F$35/'Hipóteses xerais (2)'!$F$39</f>
        <v>2806</v>
      </c>
    </row>
    <row r="27" spans="1:27" x14ac:dyDescent="0.35">
      <c r="A27" s="1100" t="s">
        <v>1077</v>
      </c>
      <c r="B27" s="1099">
        <f>NPV('Hipóteses xerais (2)'!$C$33,B18:Z18)</f>
        <v>3787.7303456472969</v>
      </c>
    </row>
    <row r="28" spans="1:27" ht="15" thickBot="1" x14ac:dyDescent="0.4">
      <c r="A28" s="1098" t="s">
        <v>1076</v>
      </c>
      <c r="B28" s="1097">
        <f>NPV('Hipóteses xerais (2)'!$C$33,-B26,B18:Z18)</f>
        <v>950.78237920420008</v>
      </c>
    </row>
    <row r="29" spans="1:27" x14ac:dyDescent="0.35">
      <c r="A29" s="1096" t="s">
        <v>1092</v>
      </c>
      <c r="B29" s="1095">
        <f>IRR(B32:AA32)</f>
        <v>5.8845201158906235E-2</v>
      </c>
    </row>
    <row r="30" spans="1:27" ht="15" thickBot="1" x14ac:dyDescent="0.4">
      <c r="A30" s="1094" t="s">
        <v>1091</v>
      </c>
      <c r="B30" s="1093">
        <f>MIRR(B32:AA32,'Hipóteses xerais (2)'!$C$33,'Hipóteses xerais (2)'!$C$33)</f>
        <v>4.5015534666871249E-2</v>
      </c>
    </row>
    <row r="31" spans="1:27" ht="15" thickTop="1" x14ac:dyDescent="0.35"/>
    <row r="32" spans="1:27" ht="15" thickBot="1" x14ac:dyDescent="0.4">
      <c r="B32" s="150">
        <f>-B26</f>
        <v>-2806</v>
      </c>
      <c r="C32" s="150">
        <f t="shared" ref="C32:AA32" si="3">B18</f>
        <v>169.14120000000003</v>
      </c>
      <c r="D32" s="150">
        <f t="shared" si="3"/>
        <v>177.86675999999997</v>
      </c>
      <c r="E32" s="150">
        <f t="shared" si="3"/>
        <v>181.84862956000001</v>
      </c>
      <c r="F32" s="150">
        <f t="shared" si="3"/>
        <v>185.94935467635992</v>
      </c>
      <c r="G32" s="150">
        <f t="shared" si="3"/>
        <v>190.17247323452702</v>
      </c>
      <c r="H32" s="150">
        <f t="shared" si="3"/>
        <v>194.52162810201969</v>
      </c>
      <c r="I32" s="150">
        <f t="shared" si="3"/>
        <v>199.00057023271583</v>
      </c>
      <c r="J32" s="150">
        <f t="shared" si="3"/>
        <v>203.61316186256863</v>
      </c>
      <c r="K32" s="150">
        <f t="shared" si="3"/>
        <v>208.36337979943116</v>
      </c>
      <c r="L32" s="150">
        <f t="shared" si="3"/>
        <v>213.25531880974847</v>
      </c>
      <c r="M32" s="150">
        <f t="shared" si="3"/>
        <v>218.29319510495475</v>
      </c>
      <c r="N32" s="150">
        <f t="shared" si="3"/>
        <v>223.4813499304997</v>
      </c>
      <c r="O32" s="150">
        <f t="shared" si="3"/>
        <v>228.82425326050992</v>
      </c>
      <c r="P32" s="150">
        <f t="shared" si="3"/>
        <v>234.32650760117966</v>
      </c>
      <c r="Q32" s="150">
        <f t="shared" si="3"/>
        <v>239.99285190607716</v>
      </c>
      <c r="R32" s="150">
        <f t="shared" si="3"/>
        <v>245.82816560664293</v>
      </c>
      <c r="S32" s="150">
        <f t="shared" si="3"/>
        <v>251.83747276125337</v>
      </c>
      <c r="T32" s="150">
        <f t="shared" si="3"/>
        <v>258.0259463263227</v>
      </c>
      <c r="U32" s="150">
        <f t="shared" si="3"/>
        <v>264.39891255301194</v>
      </c>
      <c r="V32" s="150">
        <f t="shared" si="3"/>
        <v>270.96185551322714</v>
      </c>
      <c r="W32" s="150">
        <f t="shared" si="3"/>
        <v>277.72042175868319</v>
      </c>
      <c r="X32" s="150">
        <f t="shared" si="3"/>
        <v>284.6804251169338</v>
      </c>
      <c r="Y32" s="150">
        <f t="shared" si="3"/>
        <v>291.84785162836982</v>
      </c>
      <c r="Z32" s="150">
        <f t="shared" si="3"/>
        <v>299.22886462831019</v>
      </c>
      <c r="AA32" s="150">
        <f t="shared" si="3"/>
        <v>306.8298099784314</v>
      </c>
    </row>
    <row r="33" spans="1:2" ht="15.5" thickTop="1" thickBot="1" x14ac:dyDescent="0.4">
      <c r="A33" s="947" t="s">
        <v>1073</v>
      </c>
      <c r="B33" s="1092">
        <f>B26/AVERAGE(B19:Z19)</f>
        <v>18.520325788400825</v>
      </c>
    </row>
    <row r="34" spans="1:2" ht="15" thickTop="1" x14ac:dyDescent="0.3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6CFD7-250D-4DB0-ADE1-5224C3C2A61C}">
  <dimension ref="A1:M15"/>
  <sheetViews>
    <sheetView workbookViewId="0">
      <selection activeCell="F2" sqref="F2"/>
    </sheetView>
  </sheetViews>
  <sheetFormatPr baseColWidth="10" defaultColWidth="11.54296875" defaultRowHeight="14.5" x14ac:dyDescent="0.35"/>
  <cols>
    <col min="1" max="1" width="27.81640625" customWidth="1"/>
    <col min="3" max="3" width="16.453125" customWidth="1"/>
  </cols>
  <sheetData>
    <row r="1" spans="1:13" ht="15" thickBot="1" x14ac:dyDescent="0.4"/>
    <row r="2" spans="1:13" ht="15" thickBot="1" x14ac:dyDescent="0.4">
      <c r="A2" s="1157" t="s">
        <v>568</v>
      </c>
      <c r="B2" s="1157" t="s">
        <v>596</v>
      </c>
      <c r="C2" s="1157" t="s">
        <v>598</v>
      </c>
    </row>
    <row r="3" spans="1:13" x14ac:dyDescent="0.35">
      <c r="A3" s="1155" t="s">
        <v>571</v>
      </c>
      <c r="B3" s="1156">
        <f>'Hip. Custos Factura Eléctrica'!$B$3</f>
        <v>0.1</v>
      </c>
      <c r="C3" s="1155" t="s">
        <v>1100</v>
      </c>
      <c r="F3" s="1090" t="s">
        <v>1072</v>
      </c>
      <c r="G3" s="1089"/>
      <c r="H3" s="1089"/>
      <c r="I3" s="1089"/>
      <c r="J3" s="1089"/>
      <c r="K3" s="1089"/>
      <c r="L3" s="1089"/>
      <c r="M3" s="1088"/>
    </row>
    <row r="4" spans="1:13" x14ac:dyDescent="0.35">
      <c r="A4" t="s">
        <v>574</v>
      </c>
      <c r="B4" s="12">
        <f>'Hip. Custos Factura Eléctrica'!$B$4</f>
        <v>0.03</v>
      </c>
      <c r="C4" t="s">
        <v>1100</v>
      </c>
      <c r="F4" s="662" t="s">
        <v>1070</v>
      </c>
      <c r="G4" s="661"/>
      <c r="H4" s="661"/>
      <c r="I4" s="661"/>
      <c r="J4" s="661"/>
      <c r="K4" s="661"/>
      <c r="L4" s="661"/>
      <c r="M4" s="827"/>
    </row>
    <row r="5" spans="1:13" x14ac:dyDescent="0.35">
      <c r="A5" s="1153" t="s">
        <v>1099</v>
      </c>
      <c r="B5" s="1154">
        <f>'Hipóteses xerais (2)'!$C$22/1000</f>
        <v>0.1</v>
      </c>
      <c r="C5" s="1153" t="s">
        <v>1098</v>
      </c>
    </row>
    <row r="6" spans="1:13" ht="15" thickBot="1" x14ac:dyDescent="0.4">
      <c r="A6" s="1152" t="s">
        <v>577</v>
      </c>
      <c r="B6" s="1152">
        <f>'Hip. Custos Factura Eléctrica'!$B$5</f>
        <v>3.8455000000000003E-2</v>
      </c>
      <c r="C6" s="1152" t="s">
        <v>605</v>
      </c>
    </row>
    <row r="7" spans="1:13" ht="15" thickBot="1" x14ac:dyDescent="0.4"/>
    <row r="8" spans="1:13" ht="29.5" thickBot="1" x14ac:dyDescent="0.4">
      <c r="A8" s="1151" t="s">
        <v>579</v>
      </c>
      <c r="B8" s="1150">
        <f>'Hip. Custos Factura Eléctrica'!$B$6</f>
        <v>5.11269632E-2</v>
      </c>
      <c r="C8" s="1146" t="s">
        <v>607</v>
      </c>
      <c r="E8" s="1145" t="s">
        <v>1097</v>
      </c>
      <c r="F8" s="1144"/>
      <c r="G8" s="1143"/>
    </row>
    <row r="9" spans="1:13" ht="44" thickBot="1" x14ac:dyDescent="0.4">
      <c r="A9" s="1149" t="s">
        <v>582</v>
      </c>
      <c r="B9" s="1148">
        <f>'Hip. Custos Factura Eléctrica'!$B$7</f>
        <v>5.0000000000000001E-3</v>
      </c>
      <c r="C9" s="1137" t="s">
        <v>607</v>
      </c>
      <c r="E9" s="1140" t="str">
        <f>'Hip. Custos Factura Eléctrica'!$E$7</f>
        <v>Si</v>
      </c>
      <c r="F9" s="615"/>
      <c r="G9" s="938"/>
    </row>
    <row r="10" spans="1:13" ht="15" thickBot="1" x14ac:dyDescent="0.4"/>
    <row r="11" spans="1:13" ht="15" thickBot="1" x14ac:dyDescent="0.4">
      <c r="A11" s="736" t="s">
        <v>585</v>
      </c>
      <c r="B11" s="738">
        <f>'Hip. Custos Factura Eléctrica'!$B$8</f>
        <v>2.6786000000000001E-2</v>
      </c>
      <c r="C11" s="737" t="s">
        <v>605</v>
      </c>
    </row>
    <row r="12" spans="1:13" ht="15" thickBot="1" x14ac:dyDescent="0.4"/>
    <row r="13" spans="1:13" ht="29.5" thickBot="1" x14ac:dyDescent="0.4">
      <c r="A13" s="880" t="s">
        <v>588</v>
      </c>
      <c r="B13" s="1147">
        <f>'Hip. Custos Factura Eléctrica'!$B$9</f>
        <v>0.21</v>
      </c>
      <c r="C13" s="1146" t="s">
        <v>1095</v>
      </c>
      <c r="E13" s="1145" t="s">
        <v>1096</v>
      </c>
      <c r="F13" s="1144"/>
      <c r="G13" s="1143"/>
    </row>
    <row r="14" spans="1:13" ht="29.5" thickBot="1" x14ac:dyDescent="0.4">
      <c r="A14" s="876" t="s">
        <v>591</v>
      </c>
      <c r="B14" s="1142">
        <f>'Hip. Custos Factura Eléctrica'!$B$10</f>
        <v>0.1</v>
      </c>
      <c r="C14" s="1141" t="s">
        <v>1095</v>
      </c>
      <c r="E14" s="1140" t="str">
        <f>'Hip. Custos Factura Eléctrica'!$E$10</f>
        <v>H</v>
      </c>
      <c r="F14" s="615"/>
      <c r="G14" s="938"/>
    </row>
    <row r="15" spans="1:13" ht="29.5" thickBot="1" x14ac:dyDescent="0.4">
      <c r="A15" s="1139" t="s">
        <v>593</v>
      </c>
      <c r="B15" s="1138">
        <f>'Hip. Custos Factura Eléctrica'!$B$11</f>
        <v>0.05</v>
      </c>
      <c r="C15" s="1137" t="s">
        <v>1095</v>
      </c>
    </row>
  </sheetData>
  <dataValidations count="2">
    <dataValidation type="list" allowBlank="1" showDropDown="1" showInputMessage="1" showErrorMessage="1" sqref="E14" xr:uid="{372BDD62-D865-4603-A80B-2B3BE8E03600}">
      <formula1>"H,R,S"</formula1>
    </dataValidation>
    <dataValidation type="list" allowBlank="1" showDropDown="1" showInputMessage="1" showErrorMessage="1" sqref="E9" xr:uid="{430CA118-5CCF-4D9B-B7E1-143718A90267}">
      <formula1>"Si,Non"</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914E3-1564-4E52-9645-A85C51FB5E78}">
  <dimension ref="A1:D16"/>
  <sheetViews>
    <sheetView workbookViewId="0">
      <selection activeCell="F2" sqref="F2"/>
    </sheetView>
  </sheetViews>
  <sheetFormatPr baseColWidth="10" defaultColWidth="11.54296875" defaultRowHeight="14.5" x14ac:dyDescent="0.35"/>
  <cols>
    <col min="1" max="1" width="53.453125" bestFit="1" customWidth="1"/>
    <col min="2" max="2" width="15.54296875" bestFit="1" customWidth="1"/>
    <col min="3" max="3" width="12.453125" bestFit="1" customWidth="1"/>
  </cols>
  <sheetData>
    <row r="1" spans="1:4" ht="15" thickBot="1" x14ac:dyDescent="0.4">
      <c r="A1" s="606" t="s">
        <v>1107</v>
      </c>
      <c r="B1" s="605" t="s">
        <v>1106</v>
      </c>
      <c r="C1" s="605" t="s">
        <v>199</v>
      </c>
      <c r="D1" s="604" t="s">
        <v>1105</v>
      </c>
    </row>
    <row r="2" spans="1:4" x14ac:dyDescent="0.35">
      <c r="A2" t="str">
        <f>'Datos Custos Factura Eléctrica'!A3</f>
        <v>Termo de Potencia (P1)</v>
      </c>
      <c r="B2" s="1165">
        <f>'Hip. Custos Factura Eléctrica'!$F$3</f>
        <v>3.3</v>
      </c>
      <c r="C2" s="1163">
        <f>'Datos Custos Factura Eléctrica'!B3</f>
        <v>0.1</v>
      </c>
      <c r="D2" s="12">
        <f>B2*C2*(365/12)</f>
        <v>10.037500000000001</v>
      </c>
    </row>
    <row r="3" spans="1:4" x14ac:dyDescent="0.35">
      <c r="A3" t="str">
        <f>'Datos Custos Factura Eléctrica'!A4</f>
        <v>Termo de Potencia (P2)</v>
      </c>
      <c r="B3" s="1165">
        <f>'Hip. Custos Factura Eléctrica'!$F$4</f>
        <v>3.3</v>
      </c>
      <c r="C3" s="1163">
        <f>'Datos Custos Factura Eléctrica'!B4</f>
        <v>0.03</v>
      </c>
      <c r="D3" s="12">
        <f>B3*C3*(365/12)</f>
        <v>3.01125</v>
      </c>
    </row>
    <row r="4" spans="1:4" x14ac:dyDescent="0.35">
      <c r="A4" t="str">
        <f>'Datos Custos Factura Eléctrica'!A5</f>
        <v>Termo de Enerxía (Consumo)</v>
      </c>
      <c r="B4" s="824">
        <f>'Hipóteses xerais (2)'!$I$52/12</f>
        <v>294.41000000000003</v>
      </c>
      <c r="C4" s="1163">
        <f>'Datos Custos Factura Eléctrica'!B5</f>
        <v>0.1</v>
      </c>
      <c r="D4" s="12">
        <f>B4*C4</f>
        <v>29.441000000000003</v>
      </c>
    </row>
    <row r="5" spans="1:4" ht="15" thickBot="1" x14ac:dyDescent="0.4">
      <c r="A5" t="str">
        <f>'Datos Custos Factura Eléctrica'!A6</f>
        <v>Financiación Bono Social</v>
      </c>
      <c r="C5" s="1163">
        <f>'Datos Custos Factura Eléctrica'!B6</f>
        <v>3.8455000000000003E-2</v>
      </c>
      <c r="D5" s="12">
        <f>C5*(365/12)</f>
        <v>1.1696729166666668</v>
      </c>
    </row>
    <row r="6" spans="1:4" ht="15" thickBot="1" x14ac:dyDescent="0.4">
      <c r="A6" s="1162" t="s">
        <v>1104</v>
      </c>
      <c r="B6" s="1161"/>
      <c r="C6" s="1161"/>
      <c r="D6" s="1160">
        <f>SUM(D2:D5)</f>
        <v>43.659422916666671</v>
      </c>
    </row>
    <row r="7" spans="1:4" x14ac:dyDescent="0.35">
      <c r="C7" s="1164"/>
    </row>
    <row r="8" spans="1:4" x14ac:dyDescent="0.35">
      <c r="A8" t="str">
        <f>'Datos Custos Factura Eléctrica'!A9</f>
        <v>Imposto sobre a Electricidade (Tipo Reducido Temporalmente)</v>
      </c>
      <c r="B8" s="150">
        <f>D6</f>
        <v>43.659422916666671</v>
      </c>
      <c r="C8" s="1164">
        <f>IF('Datos Custos Factura Eléctrica'!E9="Si",'Datos Custos Factura Eléctrica'!$B$9,'Datos Custos Factura Eléctrica'!$B$8)</f>
        <v>5.0000000000000001E-3</v>
      </c>
      <c r="D8" s="150">
        <f>B8*C8</f>
        <v>0.21829711458333337</v>
      </c>
    </row>
    <row r="10" spans="1:4" x14ac:dyDescent="0.35">
      <c r="A10" t="str">
        <f>'Datos Custos Factura Eléctrica'!A11</f>
        <v>Aluguer do contador</v>
      </c>
      <c r="C10" s="1163">
        <f>'Datos Custos Factura Eléctrica'!$B$11</f>
        <v>2.6786000000000001E-2</v>
      </c>
      <c r="D10" s="12">
        <f>C10*(365/12)</f>
        <v>0.81474083333333336</v>
      </c>
    </row>
    <row r="11" spans="1:4" ht="15" thickBot="1" x14ac:dyDescent="0.4"/>
    <row r="12" spans="1:4" ht="15" thickBot="1" x14ac:dyDescent="0.4">
      <c r="A12" s="1162" t="s">
        <v>1103</v>
      </c>
      <c r="B12" s="1161"/>
      <c r="C12" s="1161"/>
      <c r="D12" s="1160">
        <f>SUM(D6:D10)</f>
        <v>44.692460864583339</v>
      </c>
    </row>
    <row r="14" spans="1:4" x14ac:dyDescent="0.35">
      <c r="A14" t="s">
        <v>1102</v>
      </c>
      <c r="B14" s="150">
        <f>$D$12</f>
        <v>44.692460864583339</v>
      </c>
      <c r="C14" s="486">
        <f>IF('Datos Custos Factura Eléctrica'!$E$14="H",'Datos Custos Factura Eléctrica'!$B$13,(IF('Datos Custos Factura Eléctrica'!$E$14="R",'Datos Custos Factura Eléctrica'!$B$14,IF('Datos Custos Factura Eléctrica'!$E$14="S",'Datos Custos Factura Eléctrica'!$B$15,"ERRO"))))</f>
        <v>0.21</v>
      </c>
      <c r="D14" s="150">
        <f>B14*C14</f>
        <v>9.3854167815625011</v>
      </c>
    </row>
    <row r="15" spans="1:4" ht="15" thickBot="1" x14ac:dyDescent="0.4"/>
    <row r="16" spans="1:4" ht="15" thickBot="1" x14ac:dyDescent="0.4">
      <c r="A16" s="645" t="s">
        <v>1101</v>
      </c>
      <c r="B16" s="1159"/>
      <c r="C16" s="1159"/>
      <c r="D16" s="1158">
        <f>$D$12+$D$14</f>
        <v>54.077877646145836</v>
      </c>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B5942-3AE2-49FB-B8EF-4231A064BE54}">
  <dimension ref="A1:I31"/>
  <sheetViews>
    <sheetView topLeftCell="A9" workbookViewId="0">
      <selection activeCell="F2" sqref="F2"/>
    </sheetView>
  </sheetViews>
  <sheetFormatPr baseColWidth="10" defaultColWidth="11.54296875" defaultRowHeight="14.5" x14ac:dyDescent="0.35"/>
  <cols>
    <col min="1" max="1" width="53.453125" bestFit="1" customWidth="1"/>
    <col min="3" max="3" width="10.453125" customWidth="1"/>
    <col min="4" max="4" width="9.54296875" customWidth="1"/>
    <col min="7" max="7" width="44.453125" customWidth="1"/>
    <col min="8" max="8" width="12.81640625" bestFit="1" customWidth="1"/>
  </cols>
  <sheetData>
    <row r="1" spans="1:9" ht="29.5" thickBot="1" x14ac:dyDescent="0.4">
      <c r="A1" s="793" t="str">
        <f>'Simulac. Factura Indiv. Sen CE'!A1</f>
        <v>Concepto Faturado</v>
      </c>
      <c r="B1" s="1190" t="str">
        <f>'Simulac. Factura Indiv. Sen CE'!B1</f>
        <v>Unidades ou Base</v>
      </c>
      <c r="C1" s="1190" t="str">
        <f>'Simulac. Factura Indiv. Sen CE'!C1</f>
        <v>Valor Unitario</v>
      </c>
      <c r="D1" s="1189" t="str">
        <f>'Simulac. Factura Indiv. Sen CE'!D1</f>
        <v>Importe (€)</v>
      </c>
      <c r="H1" s="1103" t="s">
        <v>1133</v>
      </c>
      <c r="I1" s="1103" t="s">
        <v>1132</v>
      </c>
    </row>
    <row r="2" spans="1:9" x14ac:dyDescent="0.35">
      <c r="A2" t="str">
        <f>'Simulac. Factura Indiv. Sen CE'!A2</f>
        <v>Termo de Potencia (P1)</v>
      </c>
      <c r="B2">
        <f>'Simulac. Factura Indiv. Sen CE'!B2</f>
        <v>3.3</v>
      </c>
      <c r="C2" s="1163">
        <f>'Simulac. Factura Indiv. Sen CE'!C2</f>
        <v>0.1</v>
      </c>
      <c r="D2" s="12">
        <f>B2*C2*(365/12)</f>
        <v>10.037500000000001</v>
      </c>
      <c r="G2" s="1104" t="s">
        <v>1131</v>
      </c>
      <c r="H2" s="913">
        <f>'Datos CE e Socios'!$B9*1000</f>
        <v>44660</v>
      </c>
      <c r="I2" s="913">
        <f>H2/12</f>
        <v>3721.6666666666665</v>
      </c>
    </row>
    <row r="3" spans="1:9" x14ac:dyDescent="0.35">
      <c r="A3" t="str">
        <f>'Simulac. Factura Indiv. Sen CE'!A3</f>
        <v>Termo de Potencia (P2)</v>
      </c>
      <c r="B3">
        <f>'Simulac. Factura Indiv. Sen CE'!B3</f>
        <v>3.3</v>
      </c>
      <c r="C3" s="1163">
        <f>'Simulac. Factura Indiv. Sen CE'!C3</f>
        <v>0.03</v>
      </c>
      <c r="D3" s="12">
        <f>B3*C3*(365/12)</f>
        <v>3.01125</v>
      </c>
      <c r="G3" s="1104" t="s">
        <v>1130</v>
      </c>
      <c r="H3" s="913">
        <f>'Datos CE e Socios'!$B10*1000</f>
        <v>44660</v>
      </c>
      <c r="I3" s="913">
        <f>H3/12</f>
        <v>3721.6666666666665</v>
      </c>
    </row>
    <row r="4" spans="1:9" x14ac:dyDescent="0.35">
      <c r="A4" t="str">
        <f>'Simulac. Factura Indiv. Sen CE'!A4</f>
        <v>Termo de Enerxía (Consumo)</v>
      </c>
      <c r="B4" s="6">
        <f>I19</f>
        <v>147.20500000000001</v>
      </c>
      <c r="C4" s="1163">
        <f>'Simulac. Factura Indiv. Sen CE'!C4</f>
        <v>0.1</v>
      </c>
      <c r="D4" s="12">
        <f>B4*C4</f>
        <v>14.720500000000001</v>
      </c>
      <c r="G4" s="1104" t="s">
        <v>1129</v>
      </c>
      <c r="H4" s="913">
        <f>'Datos CE e Socios'!$B11*1000</f>
        <v>0</v>
      </c>
      <c r="I4" s="913">
        <f>H4/12</f>
        <v>0</v>
      </c>
    </row>
    <row r="5" spans="1:9" ht="15" thickBot="1" x14ac:dyDescent="0.4">
      <c r="A5" t="str">
        <f>'Simulac. Factura Indiv. Sen CE'!A5</f>
        <v>Financiación Bono Social</v>
      </c>
      <c r="C5" s="1163">
        <f>'Simulac. Factura Indiv. Sen CE'!C5</f>
        <v>3.8455000000000003E-2</v>
      </c>
      <c r="D5" s="12">
        <f>C5*(365/12)</f>
        <v>1.1696729166666668</v>
      </c>
      <c r="G5" s="1104" t="s">
        <v>1128</v>
      </c>
      <c r="H5" s="913">
        <f>SUM(H2:H4)</f>
        <v>89320</v>
      </c>
      <c r="I5" s="913">
        <f>SUM(I2:I4)</f>
        <v>7443.333333333333</v>
      </c>
    </row>
    <row r="6" spans="1:9" ht="15" thickBot="1" x14ac:dyDescent="0.4">
      <c r="A6" s="1162" t="str">
        <f>'Simulac. Factura Indiv. Sen CE'!A6</f>
        <v>Subtotal (Suma dos Conceptos Previos)</v>
      </c>
      <c r="B6" s="1161"/>
      <c r="C6" s="1161"/>
      <c r="D6" s="1160">
        <f>SUM(D2:D5)</f>
        <v>28.938922916666669</v>
      </c>
      <c r="G6" s="1188"/>
      <c r="H6" s="1188"/>
      <c r="I6" s="1188"/>
    </row>
    <row r="7" spans="1:9" x14ac:dyDescent="0.35">
      <c r="A7" s="63"/>
      <c r="B7" s="63"/>
      <c r="C7" s="63"/>
      <c r="D7" s="58"/>
      <c r="G7" s="649" t="s">
        <v>1127</v>
      </c>
      <c r="H7" s="1187">
        <f>H$5*'Datos CE e Socios'!$B$5</f>
        <v>3572.8</v>
      </c>
      <c r="I7" s="1186">
        <f>I$5*'Datos CE e Socios'!$B$5</f>
        <v>297.73333333333335</v>
      </c>
    </row>
    <row r="8" spans="1:9" ht="29" x14ac:dyDescent="0.35">
      <c r="A8" s="63"/>
      <c r="B8" s="63"/>
      <c r="C8" s="63"/>
      <c r="D8" s="58"/>
      <c r="G8" s="1185" t="s">
        <v>1126</v>
      </c>
      <c r="H8" s="1184">
        <f>'Hipóteses xerais (2)'!$C$70*('Simulac. Factura Indiv. Sen CE'!$B$4*12)</f>
        <v>3532.92</v>
      </c>
      <c r="I8" s="1183">
        <f>'Hipóteses xerais (2)'!$C$70*('Simulac. Factura Indiv. Sen CE'!$B$4)</f>
        <v>294.41000000000003</v>
      </c>
    </row>
    <row r="9" spans="1:9" ht="44" thickBot="1" x14ac:dyDescent="0.4">
      <c r="A9" s="63"/>
      <c r="B9" s="63"/>
      <c r="C9" s="63"/>
      <c r="D9" s="58"/>
      <c r="G9" s="907" t="s">
        <v>1125</v>
      </c>
      <c r="H9" s="1182">
        <f>MIN(H7,H8)</f>
        <v>3532.92</v>
      </c>
      <c r="I9" s="1182">
        <f>MIN(I7,I8)</f>
        <v>294.41000000000003</v>
      </c>
    </row>
    <row r="10" spans="1:9" ht="15" thickBot="1" x14ac:dyDescent="0.4">
      <c r="C10" s="1164"/>
      <c r="G10" s="615" t="s">
        <v>1124</v>
      </c>
      <c r="H10" s="1181">
        <f>'Simulac. Factura Indiv. Sen CE'!$B$4*12</f>
        <v>3532.92</v>
      </c>
      <c r="I10" s="1181">
        <f>'Simulac. Factura Indiv. Sen CE'!$B$4</f>
        <v>294.41000000000003</v>
      </c>
    </row>
    <row r="11" spans="1:9" x14ac:dyDescent="0.35">
      <c r="A11" t="str">
        <f>'Simulac. Factura Indiv. Sen CE'!A8</f>
        <v>Imposto sobre a Electricidade (Tipo Reducido Temporalmente)</v>
      </c>
      <c r="B11" s="150">
        <f>$D$6</f>
        <v>28.938922916666669</v>
      </c>
      <c r="C11" s="1164">
        <f>'Simulac. Factura Indiv. Sen CE'!C8</f>
        <v>5.0000000000000001E-3</v>
      </c>
      <c r="D11" s="150">
        <f>B11*C11</f>
        <v>0.14469461458333335</v>
      </c>
      <c r="G11" t="s">
        <v>1123</v>
      </c>
      <c r="H11" s="6">
        <f>'Hipóteses xerais (2)'!$C$26*H9</f>
        <v>1766.46</v>
      </c>
      <c r="I11" s="6">
        <f>'Hipóteses xerais (2)'!$C$26*I9</f>
        <v>147.20500000000001</v>
      </c>
    </row>
    <row r="12" spans="1:9" x14ac:dyDescent="0.35">
      <c r="G12" t="s">
        <v>1122</v>
      </c>
      <c r="H12" s="1180">
        <f>'Hipóteses xerais (2)'!$C$27*H9</f>
        <v>1766.46</v>
      </c>
      <c r="I12" s="1180">
        <f>'Hipóteses xerais (2)'!$C$27*I9</f>
        <v>147.20500000000001</v>
      </c>
    </row>
    <row r="13" spans="1:9" x14ac:dyDescent="0.35">
      <c r="A13" t="str">
        <f>'Simulac. Factura Indiv. Sen CE'!A10</f>
        <v>Aluguer do contador</v>
      </c>
      <c r="C13" s="1163">
        <f>'Simulac. Factura Indiv. Sen CE'!C10</f>
        <v>2.6786000000000001E-2</v>
      </c>
      <c r="D13" s="12">
        <f>C13*(365/12)</f>
        <v>0.81474083333333336</v>
      </c>
      <c r="G13" t="s">
        <v>1121</v>
      </c>
      <c r="H13" s="1180">
        <f>'Hipóteses xerais (2)'!$C$28*H9</f>
        <v>0</v>
      </c>
      <c r="I13" s="1180">
        <f>'Hipóteses xerais (2)'!$C$28*I9</f>
        <v>0</v>
      </c>
    </row>
    <row r="14" spans="1:9" ht="29" x14ac:dyDescent="0.35">
      <c r="G14" s="1179" t="s">
        <v>1120</v>
      </c>
      <c r="H14" s="1178">
        <f>SUM(H11:H13)</f>
        <v>3532.92</v>
      </c>
      <c r="I14" s="1178">
        <f>SUM(I11:I13)</f>
        <v>294.41000000000003</v>
      </c>
    </row>
    <row r="15" spans="1:9" ht="44" thickBot="1" x14ac:dyDescent="0.4">
      <c r="G15" s="1177" t="s">
        <v>1119</v>
      </c>
      <c r="H15" s="1176" t="str">
        <f>IF((H14-H9=0), "O.K.", "Erro")</f>
        <v>O.K.</v>
      </c>
      <c r="I15" s="1175" t="str">
        <f>IF((I14-I9=0), "O.K.", "Erro")</f>
        <v>O.K.</v>
      </c>
    </row>
    <row r="16" spans="1:9" ht="29.5" thickBot="1" x14ac:dyDescent="0.4">
      <c r="A16" s="1162" t="str">
        <f>'Simulac. Factura Indiv. Sen CE'!A12</f>
        <v>Base Impoñible do IVE (Suma dos Conceptos Previos)</v>
      </c>
      <c r="B16" s="1161"/>
      <c r="C16" s="1161"/>
      <c r="D16" s="1160">
        <f>D6+D11+D13</f>
        <v>29.898358364583334</v>
      </c>
      <c r="G16" s="623" t="s">
        <v>1118</v>
      </c>
      <c r="H16" s="1174">
        <f>('Hipóteses xerais (2)'!$C$29*H12)</f>
        <v>1766.46</v>
      </c>
      <c r="I16" s="1174">
        <f>('Hipóteses xerais (2)'!$C$29*I12)</f>
        <v>147.20500000000001</v>
      </c>
    </row>
    <row r="17" spans="1:9" ht="29" x14ac:dyDescent="0.35">
      <c r="G17" s="1173" t="s">
        <v>1117</v>
      </c>
      <c r="H17" s="1172">
        <f>H12*(1-'Hipóteses xerais (2)'!$C$29)</f>
        <v>0</v>
      </c>
      <c r="I17" s="1171">
        <f>I12*(1-'Hipóteses xerais (2)'!$C$29)</f>
        <v>0</v>
      </c>
    </row>
    <row r="18" spans="1:9" x14ac:dyDescent="0.35">
      <c r="A18" t="str">
        <f>'Simulac. Factura Indiv. Sen CE'!A14</f>
        <v>IVE (Tipo Reducido Temporalmente)</v>
      </c>
      <c r="B18" s="150">
        <f>$D$16</f>
        <v>29.898358364583334</v>
      </c>
      <c r="C18" s="486">
        <f>'Simulac. Factura Indiv. Sen CE'!C14</f>
        <v>0.21</v>
      </c>
      <c r="D18" s="150">
        <f>B18*C18</f>
        <v>6.2786552565624998</v>
      </c>
    </row>
    <row r="19" spans="1:9" ht="15" thickBot="1" x14ac:dyDescent="0.4">
      <c r="G19" s="1104" t="s">
        <v>1116</v>
      </c>
      <c r="H19" s="913">
        <f>IF(H10&gt;H11,(H10-H11),0)</f>
        <v>1766.46</v>
      </c>
      <c r="I19" s="913">
        <f>IF(I10&gt;I11,(I10-I11),0)</f>
        <v>147.20500000000001</v>
      </c>
    </row>
    <row r="20" spans="1:9" ht="15" thickBot="1" x14ac:dyDescent="0.4">
      <c r="A20" s="645" t="str">
        <f>'Simulac. Factura Indiv. Sen CE'!A16</f>
        <v>IMPORTE TOTAL DA FATURA (Base Impoñible + Cota de IVE)</v>
      </c>
      <c r="B20" s="1159"/>
      <c r="C20" s="1159"/>
      <c r="D20" s="1158">
        <f>D16+D18</f>
        <v>36.177013621145832</v>
      </c>
    </row>
    <row r="22" spans="1:9" ht="15" thickBot="1" x14ac:dyDescent="0.4"/>
    <row r="23" spans="1:9" ht="29.5" thickBot="1" x14ac:dyDescent="0.4">
      <c r="A23" s="868" t="s">
        <v>1115</v>
      </c>
      <c r="B23" s="1170" t="s">
        <v>1114</v>
      </c>
      <c r="C23" s="1170" t="s">
        <v>1113</v>
      </c>
      <c r="D23" s="1169" t="s">
        <v>1105</v>
      </c>
    </row>
    <row r="24" spans="1:9" ht="29" x14ac:dyDescent="0.35">
      <c r="A24" s="623" t="s">
        <v>1112</v>
      </c>
      <c r="B24" s="1168">
        <f>I16</f>
        <v>147.20500000000001</v>
      </c>
      <c r="C24" s="1167">
        <f>'Estim. Ingresos'!$D$8/1000</f>
        <v>0.05</v>
      </c>
      <c r="D24" s="995">
        <f>B24*C24</f>
        <v>7.3602500000000006</v>
      </c>
    </row>
    <row r="25" spans="1:9" ht="15" thickBot="1" x14ac:dyDescent="0.4">
      <c r="A25" s="623" t="s">
        <v>1111</v>
      </c>
      <c r="B25" s="6">
        <f>$I$13</f>
        <v>0</v>
      </c>
      <c r="C25" s="1167">
        <f>'Estim. Ingresos'!$D$9/1000</f>
        <v>7.4999999999999997E-2</v>
      </c>
      <c r="D25" s="12">
        <f>B25*C25</f>
        <v>0</v>
      </c>
    </row>
    <row r="26" spans="1:9" ht="15" thickBot="1" x14ac:dyDescent="0.4">
      <c r="A26" s="645" t="s">
        <v>1110</v>
      </c>
      <c r="B26" s="615"/>
      <c r="C26" s="615"/>
      <c r="D26" s="1158">
        <f>SUM(D24:D25)</f>
        <v>7.3602500000000006</v>
      </c>
    </row>
    <row r="28" spans="1:9" ht="15" thickBot="1" x14ac:dyDescent="0.4"/>
    <row r="29" spans="1:9" ht="15" thickBot="1" x14ac:dyDescent="0.4">
      <c r="A29" s="645" t="s">
        <v>1109</v>
      </c>
      <c r="B29" s="1159"/>
      <c r="C29" s="1159"/>
      <c r="D29" s="1166">
        <f>IF(D20&gt;D26,(D20-D26),0)</f>
        <v>28.816763621145832</v>
      </c>
    </row>
    <row r="30" spans="1:9" ht="15" thickBot="1" x14ac:dyDescent="0.4"/>
    <row r="31" spans="1:9" ht="15" thickBot="1" x14ac:dyDescent="0.4">
      <c r="A31" s="645" t="s">
        <v>1108</v>
      </c>
      <c r="B31" s="1159"/>
      <c r="C31" s="1159"/>
      <c r="D31" s="1166">
        <f>IF(D20&gt;D26,0,(D26-D20))</f>
        <v>0</v>
      </c>
    </row>
  </sheetData>
  <conditionalFormatting sqref="H15:I15">
    <cfRule type="cellIs" dxfId="2" priority="1" operator="equal">
      <formula>"""O.K."""</formula>
    </cfRule>
  </conditionalFormatting>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9B293-A6C2-4320-A22B-801A8BB2C849}">
  <dimension ref="A1:H41"/>
  <sheetViews>
    <sheetView topLeftCell="A25" workbookViewId="0">
      <selection activeCell="F2" sqref="F2"/>
    </sheetView>
  </sheetViews>
  <sheetFormatPr baseColWidth="10" defaultColWidth="11.54296875" defaultRowHeight="14.5" x14ac:dyDescent="0.35"/>
  <cols>
    <col min="1" max="1" width="56.81640625" customWidth="1"/>
    <col min="4" max="4" width="14.453125" customWidth="1"/>
    <col min="6" max="6" width="11.453125" customWidth="1"/>
  </cols>
  <sheetData>
    <row r="1" spans="1:5" ht="15" thickBot="1" x14ac:dyDescent="0.4">
      <c r="A1" s="868" t="s">
        <v>1107</v>
      </c>
      <c r="B1" s="645" t="s">
        <v>1146</v>
      </c>
      <c r="C1" s="644" t="s">
        <v>1145</v>
      </c>
      <c r="D1" s="645" t="s">
        <v>1144</v>
      </c>
      <c r="E1" s="1244" t="s">
        <v>1147</v>
      </c>
    </row>
    <row r="2" spans="1:5" x14ac:dyDescent="0.35">
      <c r="A2" t="s">
        <v>571</v>
      </c>
      <c r="B2" s="150">
        <f>'Simulac. Factura Indiv. Sen CE'!D2</f>
        <v>10.037500000000001</v>
      </c>
      <c r="C2" s="150">
        <f>'Simulac. Factura Indiv. Con CE'!D2</f>
        <v>10.037500000000001</v>
      </c>
      <c r="D2" s="1243">
        <f>C2-B2</f>
        <v>0</v>
      </c>
      <c r="E2" s="1242">
        <f>D2/B2</f>
        <v>0</v>
      </c>
    </row>
    <row r="3" spans="1:5" x14ac:dyDescent="0.35">
      <c r="A3" t="s">
        <v>574</v>
      </c>
      <c r="B3" s="150">
        <f>'Simulac. Factura Indiv. Sen CE'!D3</f>
        <v>3.01125</v>
      </c>
      <c r="C3" s="150">
        <f>'Simulac. Factura Indiv. Con CE'!D3</f>
        <v>3.01125</v>
      </c>
      <c r="D3" s="1243">
        <f>C3-B3</f>
        <v>0</v>
      </c>
      <c r="E3" s="1242">
        <f>D3/B3</f>
        <v>0</v>
      </c>
    </row>
    <row r="4" spans="1:5" x14ac:dyDescent="0.35">
      <c r="A4" t="s">
        <v>1099</v>
      </c>
      <c r="B4" s="150">
        <f>'Simulac. Factura Indiv. Sen CE'!D4</f>
        <v>29.441000000000003</v>
      </c>
      <c r="C4" s="150">
        <f>'Simulac. Factura Indiv. Con CE'!D4</f>
        <v>14.720500000000001</v>
      </c>
      <c r="D4" s="1243">
        <f>C4-B4</f>
        <v>-14.720500000000001</v>
      </c>
      <c r="E4" s="1242">
        <f>D4/B4</f>
        <v>-0.5</v>
      </c>
    </row>
    <row r="5" spans="1:5" ht="15" thickBot="1" x14ac:dyDescent="0.4">
      <c r="A5" t="s">
        <v>577</v>
      </c>
      <c r="B5" s="150">
        <f>'Simulac. Factura Indiv. Sen CE'!D5</f>
        <v>1.1696729166666668</v>
      </c>
      <c r="C5" s="150">
        <f>'Simulac. Factura Indiv. Con CE'!D5</f>
        <v>1.1696729166666668</v>
      </c>
      <c r="D5" s="1243">
        <f>C5-B5</f>
        <v>0</v>
      </c>
      <c r="E5" s="1242">
        <f>D5/B5</f>
        <v>0</v>
      </c>
    </row>
    <row r="6" spans="1:5" ht="15" thickBot="1" x14ac:dyDescent="0.4">
      <c r="A6" s="1162" t="s">
        <v>1104</v>
      </c>
      <c r="B6" s="1238">
        <f>SUM(B2:B5)</f>
        <v>43.659422916666671</v>
      </c>
      <c r="C6" s="1241">
        <f>SUM(C2:C5)</f>
        <v>28.938922916666669</v>
      </c>
      <c r="D6" s="1238">
        <f>C6-B6</f>
        <v>-14.720500000000001</v>
      </c>
      <c r="E6" s="1239">
        <f>D6/B6</f>
        <v>-0.33716661871819098</v>
      </c>
    </row>
    <row r="8" spans="1:5" x14ac:dyDescent="0.35">
      <c r="A8" t="s">
        <v>582</v>
      </c>
      <c r="B8" s="150">
        <f>'Simulac. Factura Indiv. Sen CE'!D8</f>
        <v>0.21829711458333337</v>
      </c>
      <c r="C8" s="150">
        <f>'Simulac. Factura Indiv. Con CE'!D11</f>
        <v>0.14469461458333335</v>
      </c>
      <c r="D8" s="150">
        <f>C8-B8</f>
        <v>-7.3602500000000015E-2</v>
      </c>
      <c r="E8" s="37">
        <f>D8/B8</f>
        <v>-0.33716661871819098</v>
      </c>
    </row>
    <row r="9" spans="1:5" x14ac:dyDescent="0.35">
      <c r="D9" s="150"/>
      <c r="E9" s="37"/>
    </row>
    <row r="10" spans="1:5" x14ac:dyDescent="0.35">
      <c r="A10" t="s">
        <v>585</v>
      </c>
      <c r="B10" s="150">
        <f>'Simulac. Factura Indiv. Sen CE'!D10</f>
        <v>0.81474083333333336</v>
      </c>
      <c r="C10" s="150">
        <f>'Simulac. Factura Indiv. Con CE'!D13</f>
        <v>0.81474083333333336</v>
      </c>
      <c r="D10" s="150">
        <f>C10-B10</f>
        <v>0</v>
      </c>
      <c r="E10" s="37">
        <f>D10/B10</f>
        <v>0</v>
      </c>
    </row>
    <row r="11" spans="1:5" ht="15" thickBot="1" x14ac:dyDescent="0.4"/>
    <row r="12" spans="1:5" ht="15" thickBot="1" x14ac:dyDescent="0.4">
      <c r="A12" s="1162" t="s">
        <v>1103</v>
      </c>
      <c r="B12" s="1238">
        <f>B6+B8+B10</f>
        <v>44.692460864583339</v>
      </c>
      <c r="C12" s="932">
        <f>C6+C8+C10</f>
        <v>29.898358364583334</v>
      </c>
      <c r="D12" s="1240">
        <f>C12-B12</f>
        <v>-14.794102500000005</v>
      </c>
      <c r="E12" s="1239">
        <f>D12/B12</f>
        <v>-0.33102009184111925</v>
      </c>
    </row>
    <row r="14" spans="1:5" x14ac:dyDescent="0.35">
      <c r="A14" t="s">
        <v>1102</v>
      </c>
      <c r="B14" s="150">
        <f>'Simulac. Factura Indiv. Sen CE'!D14</f>
        <v>9.3854167815625011</v>
      </c>
      <c r="C14" s="150">
        <f>'Simulac. Factura Indiv. Con CE'!D18</f>
        <v>6.2786552565624998</v>
      </c>
      <c r="D14" s="150">
        <f>C14-B14</f>
        <v>-3.1067615250000014</v>
      </c>
      <c r="E14" s="486">
        <f>D14/B14</f>
        <v>-0.3310200918411193</v>
      </c>
    </row>
    <row r="15" spans="1:5" ht="15" thickBot="1" x14ac:dyDescent="0.4"/>
    <row r="16" spans="1:5" ht="15" thickBot="1" x14ac:dyDescent="0.4">
      <c r="A16" s="645" t="s">
        <v>1101</v>
      </c>
      <c r="B16" s="1238">
        <f>'Simulac. Factura Indiv. Sen CE'!D16</f>
        <v>54.077877646145836</v>
      </c>
      <c r="C16" s="932">
        <f>'Simulac. Factura Indiv. Con CE'!D20</f>
        <v>36.177013621145832</v>
      </c>
      <c r="D16" s="1012">
        <f>C16-B16</f>
        <v>-17.900864025000004</v>
      </c>
      <c r="E16" s="1237">
        <f>D16/B16</f>
        <v>-0.33102009184111925</v>
      </c>
    </row>
    <row r="18" spans="1:8" ht="15" thickBot="1" x14ac:dyDescent="0.4"/>
    <row r="19" spans="1:8" ht="29.5" thickBot="1" x14ac:dyDescent="0.4">
      <c r="A19" s="1236" t="s">
        <v>1115</v>
      </c>
      <c r="B19" s="867" t="s">
        <v>1146</v>
      </c>
      <c r="C19" s="867" t="s">
        <v>1145</v>
      </c>
      <c r="D19" s="1217" t="s">
        <v>1144</v>
      </c>
      <c r="E19" s="1235" t="s">
        <v>1143</v>
      </c>
      <c r="F19" s="624" t="s">
        <v>1142</v>
      </c>
    </row>
    <row r="20" spans="1:8" ht="29" x14ac:dyDescent="0.35">
      <c r="A20" s="1229" t="s">
        <v>1112</v>
      </c>
      <c r="B20" s="1234">
        <v>0</v>
      </c>
      <c r="C20" s="1233">
        <f>'Simulac. Factura Indiv. Con CE'!D24</f>
        <v>7.3602500000000006</v>
      </c>
      <c r="D20" s="1232">
        <f>C20-B20</f>
        <v>7.3602500000000006</v>
      </c>
      <c r="E20" s="1231">
        <f>D20/B16</f>
        <v>0.13610463872419687</v>
      </c>
      <c r="F20" s="1230">
        <f>D20/$C$16</f>
        <v>0.20345101110551203</v>
      </c>
    </row>
    <row r="21" spans="1:8" ht="15" thickBot="1" x14ac:dyDescent="0.4">
      <c r="A21" s="1229" t="s">
        <v>1111</v>
      </c>
      <c r="B21" s="1228">
        <v>0</v>
      </c>
      <c r="C21" s="1227">
        <f>'Simulac. Factura Indiv. Con CE'!D25</f>
        <v>0</v>
      </c>
      <c r="D21" s="1209">
        <f>C21-B21</f>
        <v>0</v>
      </c>
      <c r="E21" s="1226">
        <f>D21/B16</f>
        <v>0</v>
      </c>
      <c r="F21" s="1206">
        <f>D21/$C$16</f>
        <v>0</v>
      </c>
    </row>
    <row r="22" spans="1:8" ht="15" thickBot="1" x14ac:dyDescent="0.4">
      <c r="A22" s="1225" t="s">
        <v>1110</v>
      </c>
      <c r="B22" s="1224">
        <f>SUM(B20:B21)</f>
        <v>0</v>
      </c>
      <c r="C22" s="1223">
        <f>SUM(C20:C21)</f>
        <v>7.3602500000000006</v>
      </c>
      <c r="D22" s="1222">
        <f>C22-B22</f>
        <v>7.3602500000000006</v>
      </c>
      <c r="E22" s="1221">
        <f>D22/B16</f>
        <v>0.13610463872419687</v>
      </c>
      <c r="F22" s="1220">
        <f>D22/$C$16</f>
        <v>0.20345101110551203</v>
      </c>
    </row>
    <row r="23" spans="1:8" ht="15" thickBot="1" x14ac:dyDescent="0.4"/>
    <row r="24" spans="1:8" ht="29.5" thickBot="1" x14ac:dyDescent="0.4">
      <c r="B24" s="1219" t="s">
        <v>1146</v>
      </c>
      <c r="C24" s="1218" t="s">
        <v>1145</v>
      </c>
      <c r="D24" s="1217" t="s">
        <v>1144</v>
      </c>
      <c r="E24" s="1216" t="s">
        <v>1143</v>
      </c>
      <c r="F24" s="1215" t="s">
        <v>1142</v>
      </c>
    </row>
    <row r="25" spans="1:8" ht="15" thickBot="1" x14ac:dyDescent="0.4">
      <c r="A25" s="645" t="s">
        <v>1109</v>
      </c>
      <c r="B25" s="1214">
        <f>$B$16</f>
        <v>54.077877646145836</v>
      </c>
      <c r="C25" s="878">
        <f>'Simulac. Factura Indiv. Con CE'!D29</f>
        <v>28.816763621145832</v>
      </c>
      <c r="D25" s="1213">
        <f>C25-B25</f>
        <v>-25.261114025000005</v>
      </c>
      <c r="E25" s="1212">
        <f>D25/$B$16</f>
        <v>-0.46712473056531612</v>
      </c>
      <c r="F25" s="1211">
        <f>D25/$C$16</f>
        <v>-0.69826421521522786</v>
      </c>
    </row>
    <row r="26" spans="1:8" ht="15" thickBot="1" x14ac:dyDescent="0.4">
      <c r="A26" s="1210" t="s">
        <v>1108</v>
      </c>
      <c r="B26" s="1209">
        <v>0</v>
      </c>
      <c r="C26" s="1062">
        <f>MAX(0,(C22-C16))</f>
        <v>0</v>
      </c>
      <c r="D26" s="1208">
        <f>C26-B26</f>
        <v>0</v>
      </c>
      <c r="E26" s="1207">
        <f>D26/$B$16</f>
        <v>0</v>
      </c>
      <c r="F26" s="1206">
        <f>D26/C16</f>
        <v>0</v>
      </c>
    </row>
    <row r="27" spans="1:8" ht="16.5" thickBot="1" x14ac:dyDescent="0.55000000000000004">
      <c r="A27" s="667" t="s">
        <v>1141</v>
      </c>
      <c r="B27" s="1205"/>
      <c r="C27" s="1204"/>
      <c r="D27" s="1203">
        <f>-D25+D26</f>
        <v>25.261114025000005</v>
      </c>
      <c r="E27" s="1202">
        <f>D27/$B$16</f>
        <v>0.46712473056531612</v>
      </c>
      <c r="F27" s="1201">
        <f>D27/$C$16</f>
        <v>0.69826421521522786</v>
      </c>
      <c r="H27" s="38"/>
    </row>
    <row r="31" spans="1:8" x14ac:dyDescent="0.35">
      <c r="A31" s="152" t="s">
        <v>1140</v>
      </c>
    </row>
    <row r="32" spans="1:8" ht="15" thickBot="1" x14ac:dyDescent="0.4"/>
    <row r="33" spans="1:3" ht="15" thickBot="1" x14ac:dyDescent="0.4">
      <c r="A33" s="1200" t="s">
        <v>1139</v>
      </c>
    </row>
    <row r="34" spans="1:3" ht="15" thickBot="1" x14ac:dyDescent="0.4">
      <c r="A34" s="1199" t="s">
        <v>1138</v>
      </c>
      <c r="B34" s="1198">
        <f>'Hipóteses xerais (2)'!$I$52/12</f>
        <v>294.41000000000003</v>
      </c>
    </row>
    <row r="35" spans="1:3" ht="15" thickBot="1" x14ac:dyDescent="0.4"/>
    <row r="36" spans="1:3" ht="15" thickBot="1" x14ac:dyDescent="0.4">
      <c r="B36" s="1197" t="s">
        <v>851</v>
      </c>
      <c r="C36" s="791" t="s">
        <v>850</v>
      </c>
    </row>
    <row r="37" spans="1:3" ht="43.5" x14ac:dyDescent="0.35">
      <c r="A37" s="1151" t="s">
        <v>1137</v>
      </c>
      <c r="B37" s="1196">
        <f>$D$27</f>
        <v>25.261114025000005</v>
      </c>
      <c r="C37" s="1195">
        <f>B37*12</f>
        <v>303.13336830000003</v>
      </c>
    </row>
    <row r="38" spans="1:3" ht="29" x14ac:dyDescent="0.35">
      <c r="A38" s="1194" t="s">
        <v>1136</v>
      </c>
      <c r="B38" s="1074">
        <f>'Hipóteses xerais (2)'!$F$41</f>
        <v>8.2348999999999997</v>
      </c>
      <c r="C38" s="874">
        <f>B38*12</f>
        <v>98.818799999999996</v>
      </c>
    </row>
    <row r="39" spans="1:3" ht="15" thickBot="1" x14ac:dyDescent="0.4">
      <c r="A39" s="1193" t="s">
        <v>1135</v>
      </c>
      <c r="B39" s="1192">
        <f>B37-B38</f>
        <v>17.026214025000005</v>
      </c>
      <c r="C39" s="924">
        <f>C37-C38</f>
        <v>204.31456830000002</v>
      </c>
    </row>
    <row r="40" spans="1:3" ht="15" thickBot="1" x14ac:dyDescent="0.4"/>
    <row r="41" spans="1:3" ht="15" thickBot="1" x14ac:dyDescent="0.4">
      <c r="A41" s="645" t="s">
        <v>1134</v>
      </c>
      <c r="B41" s="1191">
        <f>B39/'Simulac. Factura Indiv. Sen CE'!$D$16</f>
        <v>0.31484619526693786</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648A6-5DDB-49CE-9357-6AEBCCD422EC}">
  <dimension ref="A1:K27"/>
  <sheetViews>
    <sheetView workbookViewId="0">
      <selection activeCell="F2" sqref="F2"/>
    </sheetView>
  </sheetViews>
  <sheetFormatPr baseColWidth="10" defaultColWidth="8.90625" defaultRowHeight="14.5" x14ac:dyDescent="0.35"/>
  <cols>
    <col min="1" max="1" width="10.54296875" bestFit="1" customWidth="1"/>
    <col min="2" max="2" width="21.08984375" customWidth="1"/>
    <col min="3" max="3" width="12.54296875" customWidth="1"/>
    <col min="6" max="6" width="11.90625" customWidth="1"/>
  </cols>
  <sheetData>
    <row r="1" spans="1:11" ht="44" thickBot="1" x14ac:dyDescent="0.4">
      <c r="A1" s="793" t="s">
        <v>1156</v>
      </c>
      <c r="B1" s="1083" t="s">
        <v>1155</v>
      </c>
      <c r="C1" s="1082" t="s">
        <v>1154</v>
      </c>
    </row>
    <row r="2" spans="1:11" ht="15" thickBot="1" x14ac:dyDescent="0.4">
      <c r="A2" s="786">
        <v>1</v>
      </c>
      <c r="B2" s="1257">
        <f t="shared" ref="B2:B26" ca="1" si="0">RANDBETWEEN($F$6,$F$3)</f>
        <v>156</v>
      </c>
      <c r="C2" s="1247">
        <f ca="1">(INDEX('Factura Socios Con CE'!$B$55:$Z$55,,A2))/'Factura Socios Con CE'!$AA$55</f>
        <v>2.4048096192384769E-2</v>
      </c>
      <c r="F2" s="1210" t="s">
        <v>1153</v>
      </c>
      <c r="G2" s="619"/>
      <c r="H2" s="619"/>
      <c r="I2" s="618"/>
    </row>
    <row r="3" spans="1:11" ht="15" thickBot="1" x14ac:dyDescent="0.4">
      <c r="A3" s="779">
        <v>2</v>
      </c>
      <c r="B3" s="1249">
        <f t="shared" ca="1" si="0"/>
        <v>130</v>
      </c>
      <c r="C3" s="1247">
        <f ca="1">(INDEX('Factura Socios Con CE'!$B$55:$Z$55,,A3))/'Factura Socios Con CE'!$AA$55</f>
        <v>2.004008016032064E-2</v>
      </c>
      <c r="F3" s="1256">
        <f>'Hip. Custos Factura Eléctrica'!$B$21</f>
        <v>525</v>
      </c>
      <c r="G3" s="1254" t="s">
        <v>1114</v>
      </c>
      <c r="H3" s="615"/>
      <c r="I3" s="938"/>
    </row>
    <row r="4" spans="1:11" ht="15" thickBot="1" x14ac:dyDescent="0.4">
      <c r="A4" s="779">
        <v>3</v>
      </c>
      <c r="B4" s="1249">
        <f t="shared" ca="1" si="0"/>
        <v>434</v>
      </c>
      <c r="C4" s="1247">
        <f ca="1">(INDEX('Factura Socios Con CE'!$B$55:$Z$55,,A4))/'Factura Socios Con CE'!$AA$55</f>
        <v>6.6903036842916597E-2</v>
      </c>
    </row>
    <row r="5" spans="1:11" ht="15" thickBot="1" x14ac:dyDescent="0.4">
      <c r="A5" s="779">
        <v>4</v>
      </c>
      <c r="B5" s="1249">
        <f t="shared" ca="1" si="0"/>
        <v>334</v>
      </c>
      <c r="C5" s="1247">
        <f ca="1">(INDEX('Factura Socios Con CE'!$B$55:$Z$55,,A5))/'Factura Socios Con CE'!$AA$55</f>
        <v>5.148759056574688E-2</v>
      </c>
      <c r="F5" s="1210" t="s">
        <v>1152</v>
      </c>
      <c r="G5" s="619"/>
      <c r="H5" s="619"/>
      <c r="I5" s="618"/>
    </row>
    <row r="6" spans="1:11" ht="15" thickBot="1" x14ac:dyDescent="0.4">
      <c r="A6" s="779">
        <v>5</v>
      </c>
      <c r="B6" s="1249">
        <f t="shared" ca="1" si="0"/>
        <v>246</v>
      </c>
      <c r="C6" s="1247">
        <f ca="1">(INDEX('Factura Socios Con CE'!$B$55:$Z$55,,A6))/'Factura Socios Con CE'!$AA$55</f>
        <v>3.7921997841837522E-2</v>
      </c>
      <c r="F6" s="1255">
        <f>'Hip. Custos Factura Eléctrica'!$B$22</f>
        <v>75</v>
      </c>
      <c r="G6" s="1254" t="s">
        <v>1114</v>
      </c>
      <c r="H6" s="615"/>
      <c r="I6" s="938"/>
    </row>
    <row r="7" spans="1:11" ht="15" thickBot="1" x14ac:dyDescent="0.4">
      <c r="A7" s="779">
        <v>6</v>
      </c>
      <c r="B7" s="1249">
        <f t="shared" ca="1" si="0"/>
        <v>518</v>
      </c>
      <c r="C7" s="1247">
        <f ca="1">(INDEX('Factura Socios Con CE'!$B$55:$Z$55,,A7))/'Factura Socios Con CE'!$AA$55</f>
        <v>7.9852011715739177E-2</v>
      </c>
    </row>
    <row r="8" spans="1:11" ht="15" thickBot="1" x14ac:dyDescent="0.4">
      <c r="A8" s="779">
        <v>7</v>
      </c>
      <c r="B8" s="1249">
        <f t="shared" ca="1" si="0"/>
        <v>232</v>
      </c>
      <c r="C8" s="1247">
        <f ca="1">(INDEX('Factura Socios Con CE'!$B$55:$Z$55,,A8))/'Factura Socios Con CE'!$AA$55</f>
        <v>3.5763835363033757E-2</v>
      </c>
      <c r="F8" s="645" t="s">
        <v>1151</v>
      </c>
      <c r="G8" s="615"/>
      <c r="H8" s="615"/>
      <c r="I8" s="938"/>
    </row>
    <row r="9" spans="1:11" x14ac:dyDescent="0.35">
      <c r="A9" s="779">
        <v>8</v>
      </c>
      <c r="B9" s="1249">
        <f t="shared" ca="1" si="0"/>
        <v>207</v>
      </c>
      <c r="C9" s="1247">
        <f ca="1">(INDEX('Factura Socios Con CE'!$B$55:$Z$55,,A9))/'Factura Socios Con CE'!$AA$55</f>
        <v>3.1909973793741331E-2</v>
      </c>
      <c r="F9" s="1253">
        <f ca="1">SUM(B2:B26)</f>
        <v>6487</v>
      </c>
      <c r="G9" s="619" t="s">
        <v>1114</v>
      </c>
      <c r="H9" s="619"/>
      <c r="I9" s="618"/>
    </row>
    <row r="10" spans="1:11" ht="15" thickBot="1" x14ac:dyDescent="0.4">
      <c r="A10" s="779">
        <v>9</v>
      </c>
      <c r="B10" s="1249">
        <f t="shared" ca="1" si="0"/>
        <v>139</v>
      </c>
      <c r="C10" s="1247">
        <f ca="1">(INDEX('Factura Socios Con CE'!$B$55:$Z$55,,A10))/'Factura Socios Con CE'!$AA$55</f>
        <v>2.1427470325265915E-2</v>
      </c>
      <c r="F10" s="1252">
        <f ca="1">F9/1000</f>
        <v>6.4870000000000001</v>
      </c>
      <c r="G10" s="610" t="s">
        <v>976</v>
      </c>
      <c r="H10" s="610"/>
      <c r="I10" s="1251"/>
    </row>
    <row r="11" spans="1:11" x14ac:dyDescent="0.35">
      <c r="A11" s="779">
        <v>10</v>
      </c>
      <c r="B11" s="1249">
        <f t="shared" ca="1" si="0"/>
        <v>296</v>
      </c>
      <c r="C11" s="1247">
        <f ca="1">(INDEX('Factura Socios Con CE'!$B$55:$Z$55,,A11))/'Factura Socios Con CE'!$AA$55</f>
        <v>4.5629720980422381E-2</v>
      </c>
    </row>
    <row r="12" spans="1:11" ht="15" thickBot="1" x14ac:dyDescent="0.4">
      <c r="A12" s="779">
        <v>11</v>
      </c>
      <c r="B12" s="1249">
        <f t="shared" ca="1" si="0"/>
        <v>120</v>
      </c>
      <c r="C12" s="1247">
        <f ca="1">(INDEX('Factura Socios Con CE'!$B$55:$Z$55,,A12))/'Factura Socios Con CE'!$AA$55</f>
        <v>1.8498535532603669E-2</v>
      </c>
    </row>
    <row r="13" spans="1:11" ht="15" thickBot="1" x14ac:dyDescent="0.4">
      <c r="A13" s="779">
        <v>12</v>
      </c>
      <c r="B13" s="1249">
        <f t="shared" ca="1" si="0"/>
        <v>281</v>
      </c>
      <c r="C13" s="1247">
        <f ca="1">(INDEX('Factura Socios Con CE'!$B$55:$Z$55,,A13))/'Factura Socios Con CE'!$AA$55</f>
        <v>4.3317404038846923E-2</v>
      </c>
      <c r="F13" s="645" t="s">
        <v>1150</v>
      </c>
      <c r="G13" s="615"/>
      <c r="H13" s="615"/>
      <c r="I13" s="615"/>
      <c r="J13" s="615"/>
      <c r="K13" s="938"/>
    </row>
    <row r="14" spans="1:11" ht="15" thickBot="1" x14ac:dyDescent="0.4">
      <c r="A14" s="779">
        <v>13</v>
      </c>
      <c r="B14" s="1249">
        <f t="shared" ca="1" si="0"/>
        <v>79</v>
      </c>
      <c r="C14" s="1247">
        <f ca="1">(INDEX('Factura Socios Con CE'!$B$55:$Z$55,,A14))/'Factura Socios Con CE'!$AA$55</f>
        <v>1.2178202558964082E-2</v>
      </c>
      <c r="F14" s="1250">
        <v>0.1</v>
      </c>
      <c r="G14" s="615"/>
      <c r="H14" s="615"/>
      <c r="I14" s="615"/>
      <c r="J14" s="615"/>
      <c r="K14" s="938"/>
    </row>
    <row r="15" spans="1:11" ht="15" thickBot="1" x14ac:dyDescent="0.4">
      <c r="A15" s="779">
        <v>14</v>
      </c>
      <c r="B15" s="1249">
        <f t="shared" ca="1" si="0"/>
        <v>195</v>
      </c>
      <c r="C15" s="1247">
        <f ca="1">(INDEX('Factura Socios Con CE'!$B$55:$Z$55,,A15))/'Factura Socios Con CE'!$AA$55</f>
        <v>3.0060120240480961E-2</v>
      </c>
    </row>
    <row r="16" spans="1:11" ht="15" thickBot="1" x14ac:dyDescent="0.4">
      <c r="A16" s="779">
        <v>15</v>
      </c>
      <c r="B16" s="1249">
        <f t="shared" ca="1" si="0"/>
        <v>297</v>
      </c>
      <c r="C16" s="1247">
        <f ca="1">(INDEX('Factura Socios Con CE'!$B$55:$Z$55,,A16))/'Factura Socios Con CE'!$AA$55</f>
        <v>4.578387544319408E-2</v>
      </c>
      <c r="F16" s="645" t="s">
        <v>1149</v>
      </c>
      <c r="G16" s="644"/>
      <c r="H16" s="644"/>
      <c r="I16" s="644"/>
      <c r="J16" s="644"/>
      <c r="K16" s="1244"/>
    </row>
    <row r="17" spans="1:11" ht="15" thickBot="1" x14ac:dyDescent="0.4">
      <c r="A17" s="779">
        <v>16</v>
      </c>
      <c r="B17" s="1249">
        <f t="shared" ca="1" si="0"/>
        <v>525</v>
      </c>
      <c r="C17" s="1247">
        <f ca="1">(INDEX('Factura Socios Con CE'!$B$55:$Z$55,,A17))/'Factura Socios Con CE'!$AA$55</f>
        <v>8.0931092955141046E-2</v>
      </c>
      <c r="F17" s="1250">
        <v>0.5</v>
      </c>
      <c r="G17" s="615"/>
      <c r="H17" s="615"/>
      <c r="I17" s="615"/>
      <c r="J17" s="615"/>
      <c r="K17" s="938"/>
    </row>
    <row r="18" spans="1:11" x14ac:dyDescent="0.35">
      <c r="A18" s="779">
        <v>17</v>
      </c>
      <c r="B18" s="1249">
        <f t="shared" ca="1" si="0"/>
        <v>485</v>
      </c>
      <c r="C18" s="1247">
        <f ca="1">(INDEX('Factura Socios Con CE'!$B$55:$Z$55,,A18))/'Factura Socios Con CE'!$AA$55</f>
        <v>7.4764914444273162E-2</v>
      </c>
    </row>
    <row r="19" spans="1:11" x14ac:dyDescent="0.35">
      <c r="A19" s="779">
        <v>18</v>
      </c>
      <c r="B19" s="1249">
        <f t="shared" ca="1" si="0"/>
        <v>331</v>
      </c>
      <c r="C19" s="1247">
        <f ca="1">(INDEX('Factura Socios Con CE'!$B$55:$Z$55,,A19))/'Factura Socios Con CE'!$AA$55</f>
        <v>5.1025127177431788E-2</v>
      </c>
    </row>
    <row r="20" spans="1:11" x14ac:dyDescent="0.35">
      <c r="A20" s="779">
        <v>19</v>
      </c>
      <c r="B20" s="1249">
        <f t="shared" ca="1" si="0"/>
        <v>142</v>
      </c>
      <c r="C20" s="1247">
        <f ca="1">(INDEX('Factura Socios Con CE'!$B$55:$Z$55,,A20))/'Factura Socios Con CE'!$AA$55</f>
        <v>2.1889933713581007E-2</v>
      </c>
    </row>
    <row r="21" spans="1:11" x14ac:dyDescent="0.35">
      <c r="A21" s="779">
        <v>20</v>
      </c>
      <c r="B21" s="1249">
        <f t="shared" ca="1" si="0"/>
        <v>315</v>
      </c>
      <c r="C21" s="1247">
        <f ca="1">(INDEX('Factura Socios Con CE'!$B$55:$Z$55,,A21))/'Factura Socios Con CE'!$AA$55</f>
        <v>4.855865577308463E-2</v>
      </c>
    </row>
    <row r="22" spans="1:11" x14ac:dyDescent="0.35">
      <c r="A22" s="779">
        <v>21</v>
      </c>
      <c r="B22" s="1249">
        <f t="shared" ca="1" si="0"/>
        <v>180</v>
      </c>
      <c r="C22" s="1247">
        <f ca="1">(INDEX('Factura Socios Con CE'!$B$55:$Z$55,,A22))/'Factura Socios Con CE'!$AA$55</f>
        <v>2.7747803298905502E-2</v>
      </c>
    </row>
    <row r="23" spans="1:11" x14ac:dyDescent="0.35">
      <c r="A23" s="779">
        <v>22</v>
      </c>
      <c r="B23" s="1249">
        <f t="shared" ca="1" si="0"/>
        <v>149</v>
      </c>
      <c r="C23" s="1247">
        <f ca="1">(INDEX('Factura Socios Con CE'!$B$55:$Z$55,,A23))/'Factura Socios Con CE'!$AA$55</f>
        <v>2.296901495298289E-2</v>
      </c>
    </row>
    <row r="24" spans="1:11" x14ac:dyDescent="0.35">
      <c r="A24" s="779">
        <v>23</v>
      </c>
      <c r="B24" s="1249">
        <f t="shared" ca="1" si="0"/>
        <v>322</v>
      </c>
      <c r="C24" s="1247">
        <f ca="1">(INDEX('Factura Socios Con CE'!$B$55:$Z$55,,A24))/'Factura Socios Con CE'!$AA$55</f>
        <v>4.9637737012486513E-2</v>
      </c>
    </row>
    <row r="25" spans="1:11" x14ac:dyDescent="0.35">
      <c r="A25" s="779">
        <v>24</v>
      </c>
      <c r="B25" s="1249">
        <f t="shared" ca="1" si="0"/>
        <v>295</v>
      </c>
      <c r="C25" s="1247">
        <f ca="1">(INDEX('Factura Socios Con CE'!$B$55:$Z$55,,A25))/'Factura Socios Con CE'!$AA$55</f>
        <v>4.5475566517650688E-2</v>
      </c>
    </row>
    <row r="26" spans="1:11" ht="15" thickBot="1" x14ac:dyDescent="0.4">
      <c r="A26" s="919">
        <v>25</v>
      </c>
      <c r="B26" s="1248">
        <f t="shared" ca="1" si="0"/>
        <v>79</v>
      </c>
      <c r="C26" s="1247">
        <f ca="1">(INDEX('Factura Socios Con CE'!$B$55:$Z$55,,A26))/'Factura Socios Con CE'!$AA$55</f>
        <v>1.2178202558964082E-2</v>
      </c>
    </row>
    <row r="27" spans="1:11" ht="44" thickBot="1" x14ac:dyDescent="0.4">
      <c r="A27" s="887" t="s">
        <v>1148</v>
      </c>
      <c r="B27" s="1246">
        <f ca="1">SUM(B2:B26)</f>
        <v>6487</v>
      </c>
      <c r="C27" s="1245">
        <f ca="1">SUM(C2:C26)</f>
        <v>0.99999999999999989</v>
      </c>
    </row>
  </sheetData>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9B8C1-7227-4D2C-A7BA-721C367B5083}">
  <dimension ref="A1:AA26"/>
  <sheetViews>
    <sheetView workbookViewId="0">
      <selection activeCell="F2" sqref="F2"/>
    </sheetView>
  </sheetViews>
  <sheetFormatPr baseColWidth="10" defaultColWidth="11.54296875" defaultRowHeight="14.5" x14ac:dyDescent="0.35"/>
  <cols>
    <col min="1" max="1" width="53.453125" bestFit="1" customWidth="1"/>
    <col min="2" max="2" width="12.08984375" bestFit="1" customWidth="1"/>
    <col min="3" max="3" width="13.90625" customWidth="1"/>
    <col min="27" max="27" width="11.453125" bestFit="1" customWidth="1"/>
  </cols>
  <sheetData>
    <row r="1" spans="1:27" x14ac:dyDescent="0.35">
      <c r="B1" s="174" t="s">
        <v>1156</v>
      </c>
      <c r="C1" s="1269"/>
    </row>
    <row r="2" spans="1:27" ht="43.5" x14ac:dyDescent="0.35">
      <c r="B2" s="371">
        <v>1</v>
      </c>
      <c r="C2" s="371">
        <v>2</v>
      </c>
      <c r="D2" s="371">
        <v>3</v>
      </c>
      <c r="E2" s="371">
        <v>4</v>
      </c>
      <c r="F2" s="371">
        <v>5</v>
      </c>
      <c r="G2" s="371">
        <v>6</v>
      </c>
      <c r="H2" s="371">
        <v>7</v>
      </c>
      <c r="I2" s="371">
        <v>8</v>
      </c>
      <c r="J2" s="371">
        <v>9</v>
      </c>
      <c r="K2" s="371">
        <v>10</v>
      </c>
      <c r="L2" s="371">
        <v>11</v>
      </c>
      <c r="M2" s="371">
        <v>12</v>
      </c>
      <c r="N2" s="371">
        <v>13</v>
      </c>
      <c r="O2" s="371">
        <v>14</v>
      </c>
      <c r="P2" s="371">
        <v>15</v>
      </c>
      <c r="Q2" s="371">
        <v>16</v>
      </c>
      <c r="R2" s="371">
        <v>17</v>
      </c>
      <c r="S2" s="371">
        <v>18</v>
      </c>
      <c r="T2" s="371">
        <v>19</v>
      </c>
      <c r="U2" s="371">
        <v>20</v>
      </c>
      <c r="V2" s="371">
        <v>21</v>
      </c>
      <c r="W2" s="371">
        <v>22</v>
      </c>
      <c r="X2" s="371">
        <v>23</v>
      </c>
      <c r="Y2" s="371">
        <v>24</v>
      </c>
      <c r="Z2" s="371">
        <v>25</v>
      </c>
      <c r="AA2" s="371" t="s">
        <v>1148</v>
      </c>
    </row>
    <row r="3" spans="1:27" x14ac:dyDescent="0.35">
      <c r="A3" s="394" t="s">
        <v>571</v>
      </c>
      <c r="B3" s="1268">
        <f>'Simulac. Factura Indiv. Sen CE'!$B$3*(365/12)*'Datos Custos Factura Eléctrica'!$B$3</f>
        <v>10.037500000000001</v>
      </c>
      <c r="C3" s="1268">
        <f>'Simulac. Factura Indiv. Sen CE'!$B$3*(365/12)*'Datos Custos Factura Eléctrica'!$B$3</f>
        <v>10.037500000000001</v>
      </c>
      <c r="D3" s="1268">
        <f>'Simulac. Factura Indiv. Sen CE'!$B$3*(365/12)*'Datos Custos Factura Eléctrica'!$B$3</f>
        <v>10.037500000000001</v>
      </c>
      <c r="E3" s="1268">
        <f>'Simulac. Factura Indiv. Sen CE'!$B$3*(365/12)*'Datos Custos Factura Eléctrica'!$B$3</f>
        <v>10.037500000000001</v>
      </c>
      <c r="F3" s="1268">
        <f>'Simulac. Factura Indiv. Sen CE'!$B$3*(365/12)*'Datos Custos Factura Eléctrica'!$B$3</f>
        <v>10.037500000000001</v>
      </c>
      <c r="G3" s="1268">
        <f>'Simulac. Factura Indiv. Sen CE'!$B$3*(365/12)*'Datos Custos Factura Eléctrica'!$B$3</f>
        <v>10.037500000000001</v>
      </c>
      <c r="H3" s="1268">
        <f>'Simulac. Factura Indiv. Sen CE'!$B$3*(365/12)*'Datos Custos Factura Eléctrica'!$B$3</f>
        <v>10.037500000000001</v>
      </c>
      <c r="I3" s="1268">
        <f>'Simulac. Factura Indiv. Sen CE'!$B$3*(365/12)*'Datos Custos Factura Eléctrica'!$B$3</f>
        <v>10.037500000000001</v>
      </c>
      <c r="J3" s="1268">
        <f>'Simulac. Factura Indiv. Sen CE'!$B$3*(365/12)*'Datos Custos Factura Eléctrica'!$B$3</f>
        <v>10.037500000000001</v>
      </c>
      <c r="K3" s="1268">
        <f>'Simulac. Factura Indiv. Sen CE'!$B$3*(365/12)*'Datos Custos Factura Eléctrica'!$B$3</f>
        <v>10.037500000000001</v>
      </c>
      <c r="L3" s="1268">
        <f>'Simulac. Factura Indiv. Sen CE'!$B$3*(365/12)*'Datos Custos Factura Eléctrica'!$B$3</f>
        <v>10.037500000000001</v>
      </c>
      <c r="M3" s="1268">
        <f>'Simulac. Factura Indiv. Sen CE'!$B$3*(365/12)*'Datos Custos Factura Eléctrica'!$B$3</f>
        <v>10.037500000000001</v>
      </c>
      <c r="N3" s="1268">
        <f>'Simulac. Factura Indiv. Sen CE'!$B$3*(365/12)*'Datos Custos Factura Eléctrica'!$B$3</f>
        <v>10.037500000000001</v>
      </c>
      <c r="O3" s="1268">
        <f>'Simulac. Factura Indiv. Sen CE'!$B$3*(365/12)*'Datos Custos Factura Eléctrica'!$B$3</f>
        <v>10.037500000000001</v>
      </c>
      <c r="P3" s="1268">
        <f>'Simulac. Factura Indiv. Sen CE'!$B$3*(365/12)*'Datos Custos Factura Eléctrica'!$B$3</f>
        <v>10.037500000000001</v>
      </c>
      <c r="Q3" s="1268">
        <f>'Simulac. Factura Indiv. Sen CE'!$B$3*(365/12)*'Datos Custos Factura Eléctrica'!$B$3</f>
        <v>10.037500000000001</v>
      </c>
      <c r="R3" s="1268">
        <f>'Simulac. Factura Indiv. Sen CE'!$B$3*(365/12)*'Datos Custos Factura Eléctrica'!$B$3</f>
        <v>10.037500000000001</v>
      </c>
      <c r="S3" s="1268">
        <f>'Simulac. Factura Indiv. Sen CE'!$B$3*(365/12)*'Datos Custos Factura Eléctrica'!$B$3</f>
        <v>10.037500000000001</v>
      </c>
      <c r="T3" s="1268">
        <f>'Simulac. Factura Indiv. Sen CE'!$B$3*(365/12)*'Datos Custos Factura Eléctrica'!$B$3</f>
        <v>10.037500000000001</v>
      </c>
      <c r="U3" s="1268">
        <f>'Simulac. Factura Indiv. Sen CE'!$B$3*(365/12)*'Datos Custos Factura Eléctrica'!$B$3</f>
        <v>10.037500000000001</v>
      </c>
      <c r="V3" s="1268">
        <f>'Simulac. Factura Indiv. Sen CE'!$B$3*(365/12)*'Datos Custos Factura Eléctrica'!$B$3</f>
        <v>10.037500000000001</v>
      </c>
      <c r="W3" s="1268">
        <f>'Simulac. Factura Indiv. Sen CE'!$B$3*(365/12)*'Datos Custos Factura Eléctrica'!$B$3</f>
        <v>10.037500000000001</v>
      </c>
      <c r="X3" s="1268">
        <f>'Simulac. Factura Indiv. Sen CE'!$B$3*(365/12)*'Datos Custos Factura Eléctrica'!$B$3</f>
        <v>10.037500000000001</v>
      </c>
      <c r="Y3" s="1268">
        <f>'Simulac. Factura Indiv. Sen CE'!$B$3*(365/12)*'Datos Custos Factura Eléctrica'!$B$3</f>
        <v>10.037500000000001</v>
      </c>
      <c r="Z3" s="1268">
        <f>'Simulac. Factura Indiv. Sen CE'!$B$3*(365/12)*'Datos Custos Factura Eléctrica'!$B$3</f>
        <v>10.037500000000001</v>
      </c>
      <c r="AA3" s="150">
        <f>SUM(B3:Z3)</f>
        <v>250.93749999999991</v>
      </c>
    </row>
    <row r="4" spans="1:27" x14ac:dyDescent="0.35">
      <c r="A4" s="394" t="s">
        <v>574</v>
      </c>
      <c r="B4" s="1268">
        <f>'Simulac. Factura Indiv. Sen CE'!$B$3*(365/12)*'Datos Custos Factura Eléctrica'!$B4</f>
        <v>3.01125</v>
      </c>
      <c r="C4" s="1268">
        <f>'Simulac. Factura Indiv. Sen CE'!$B$3*(365/12)*'Datos Custos Factura Eléctrica'!$B4</f>
        <v>3.01125</v>
      </c>
      <c r="D4" s="1268">
        <f>'Simulac. Factura Indiv. Sen CE'!$B$3*(365/12)*'Datos Custos Factura Eléctrica'!$B4</f>
        <v>3.01125</v>
      </c>
      <c r="E4" s="1268">
        <f>'Simulac. Factura Indiv. Sen CE'!$B$3*(365/12)*'Datos Custos Factura Eléctrica'!$B4</f>
        <v>3.01125</v>
      </c>
      <c r="F4" s="1268">
        <f>'Simulac. Factura Indiv. Sen CE'!$B$3*(365/12)*'Datos Custos Factura Eléctrica'!$B4</f>
        <v>3.01125</v>
      </c>
      <c r="G4" s="1268">
        <f>'Simulac. Factura Indiv. Sen CE'!$B$3*(365/12)*'Datos Custos Factura Eléctrica'!$B4</f>
        <v>3.01125</v>
      </c>
      <c r="H4" s="1268">
        <f>'Simulac. Factura Indiv. Sen CE'!$B$3*(365/12)*'Datos Custos Factura Eléctrica'!$B4</f>
        <v>3.01125</v>
      </c>
      <c r="I4" s="1268">
        <f>'Simulac. Factura Indiv. Sen CE'!$B$3*(365/12)*'Datos Custos Factura Eléctrica'!$B4</f>
        <v>3.01125</v>
      </c>
      <c r="J4" s="1268">
        <f>'Simulac. Factura Indiv. Sen CE'!$B$3*(365/12)*'Datos Custos Factura Eléctrica'!$B4</f>
        <v>3.01125</v>
      </c>
      <c r="K4" s="1268">
        <f>'Simulac. Factura Indiv. Sen CE'!$B$3*(365/12)*'Datos Custos Factura Eléctrica'!$B4</f>
        <v>3.01125</v>
      </c>
      <c r="L4" s="1268">
        <f>'Simulac. Factura Indiv. Sen CE'!$B$3*(365/12)*'Datos Custos Factura Eléctrica'!$B4</f>
        <v>3.01125</v>
      </c>
      <c r="M4" s="1268">
        <f>'Simulac. Factura Indiv. Sen CE'!$B$3*(365/12)*'Datos Custos Factura Eléctrica'!$B4</f>
        <v>3.01125</v>
      </c>
      <c r="N4" s="1268">
        <f>'Simulac. Factura Indiv. Sen CE'!$B$3*(365/12)*'Datos Custos Factura Eléctrica'!$B4</f>
        <v>3.01125</v>
      </c>
      <c r="O4" s="1268">
        <f>'Simulac. Factura Indiv. Sen CE'!$B$3*(365/12)*'Datos Custos Factura Eléctrica'!$B4</f>
        <v>3.01125</v>
      </c>
      <c r="P4" s="1268">
        <f>'Simulac. Factura Indiv. Sen CE'!$B$3*(365/12)*'Datos Custos Factura Eléctrica'!$B4</f>
        <v>3.01125</v>
      </c>
      <c r="Q4" s="1268">
        <f>'Simulac. Factura Indiv. Sen CE'!$B$3*(365/12)*'Datos Custos Factura Eléctrica'!$B4</f>
        <v>3.01125</v>
      </c>
      <c r="R4" s="1268">
        <f>'Simulac. Factura Indiv. Sen CE'!$B$3*(365/12)*'Datos Custos Factura Eléctrica'!$B4</f>
        <v>3.01125</v>
      </c>
      <c r="S4" s="1268">
        <f>'Simulac. Factura Indiv. Sen CE'!$B$3*(365/12)*'Datos Custos Factura Eléctrica'!$B4</f>
        <v>3.01125</v>
      </c>
      <c r="T4" s="1268">
        <f>'Simulac. Factura Indiv. Sen CE'!$B$3*(365/12)*'Datos Custos Factura Eléctrica'!$B4</f>
        <v>3.01125</v>
      </c>
      <c r="U4" s="1268">
        <f>'Simulac. Factura Indiv. Sen CE'!$B$3*(365/12)*'Datos Custos Factura Eléctrica'!$B4</f>
        <v>3.01125</v>
      </c>
      <c r="V4" s="1268">
        <f>'Simulac. Factura Indiv. Sen CE'!$B$3*(365/12)*'Datos Custos Factura Eléctrica'!$B4</f>
        <v>3.01125</v>
      </c>
      <c r="W4" s="1268">
        <f>'Simulac. Factura Indiv. Sen CE'!$B$3*(365/12)*'Datos Custos Factura Eléctrica'!$B4</f>
        <v>3.01125</v>
      </c>
      <c r="X4" s="1268">
        <f>'Simulac. Factura Indiv. Sen CE'!$B$3*(365/12)*'Datos Custos Factura Eléctrica'!$B4</f>
        <v>3.01125</v>
      </c>
      <c r="Y4" s="1268">
        <f>'Simulac. Factura Indiv. Sen CE'!$B$3*(365/12)*'Datos Custos Factura Eléctrica'!$B4</f>
        <v>3.01125</v>
      </c>
      <c r="Z4" s="1268">
        <f>'Simulac. Factura Indiv. Sen CE'!$B$3*(365/12)*'Datos Custos Factura Eléctrica'!$B4</f>
        <v>3.01125</v>
      </c>
      <c r="AA4" s="150">
        <f>SUM(B4:Z4)</f>
        <v>75.281249999999986</v>
      </c>
    </row>
    <row r="5" spans="1:27" x14ac:dyDescent="0.35">
      <c r="A5" s="394" t="s">
        <v>1099</v>
      </c>
      <c r="B5" s="1263">
        <f ca="1">(INDEX('Datos Socios'!$B$2:$B$27,'Factura Socios Sen CE'!B2))*'Datos Custos Factura Eléctrica'!$B$5</f>
        <v>15.600000000000001</v>
      </c>
      <c r="C5" s="1263">
        <f ca="1">(INDEX('Datos Socios'!$B$2:$B$27,'Factura Socios Sen CE'!C2))*'Datos Custos Factura Eléctrica'!$B$5</f>
        <v>13</v>
      </c>
      <c r="D5" s="1263">
        <f ca="1">(INDEX('Datos Socios'!$B$2:$B$27,'Factura Socios Sen CE'!D2))*'Datos Custos Factura Eléctrica'!$B$5</f>
        <v>43.400000000000006</v>
      </c>
      <c r="E5" s="1263">
        <f ca="1">(INDEX('Datos Socios'!$B$2:$B$27,'Factura Socios Sen CE'!E2))*'Datos Custos Factura Eléctrica'!$B$5</f>
        <v>33.4</v>
      </c>
      <c r="F5" s="1263">
        <f ca="1">(INDEX('Datos Socios'!$B$2:$B$27,'Factura Socios Sen CE'!F2))*'Datos Custos Factura Eléctrica'!$B$5</f>
        <v>24.6</v>
      </c>
      <c r="G5" s="1263">
        <f ca="1">(INDEX('Datos Socios'!$B$2:$B$27,'Factura Socios Sen CE'!G2))*'Datos Custos Factura Eléctrica'!$B$5</f>
        <v>51.800000000000004</v>
      </c>
      <c r="H5" s="1263">
        <f ca="1">(INDEX('Datos Socios'!$B$2:$B$27,'Factura Socios Sen CE'!H2))*'Datos Custos Factura Eléctrica'!$B$5</f>
        <v>23.200000000000003</v>
      </c>
      <c r="I5" s="1263">
        <f ca="1">(INDEX('Datos Socios'!$B$2:$B$27,'Factura Socios Sen CE'!I2))*'Datos Custos Factura Eléctrica'!$B$5</f>
        <v>20.700000000000003</v>
      </c>
      <c r="J5" s="1263">
        <f ca="1">(INDEX('Datos Socios'!$B$2:$B$27,'Factura Socios Sen CE'!J2))*'Datos Custos Factura Eléctrica'!$B$5</f>
        <v>13.9</v>
      </c>
      <c r="K5" s="1263">
        <f ca="1">(INDEX('Datos Socios'!$B$2:$B$27,'Factura Socios Sen CE'!K2))*'Datos Custos Factura Eléctrica'!$B$5</f>
        <v>29.6</v>
      </c>
      <c r="L5" s="1263">
        <f ca="1">(INDEX('Datos Socios'!$B$2:$B$27,'Factura Socios Sen CE'!L2))*'Datos Custos Factura Eléctrica'!$B$5</f>
        <v>12</v>
      </c>
      <c r="M5" s="1263">
        <f ca="1">(INDEX('Datos Socios'!$B$2:$B$27,'Factura Socios Sen CE'!M2))*'Datos Custos Factura Eléctrica'!$B$5</f>
        <v>28.1</v>
      </c>
      <c r="N5" s="1263">
        <f ca="1">(INDEX('Datos Socios'!$B$2:$B$27,'Factura Socios Sen CE'!N2))*'Datos Custos Factura Eléctrica'!$B$5</f>
        <v>7.9</v>
      </c>
      <c r="O5" s="1263">
        <f ca="1">(INDEX('Datos Socios'!$B$2:$B$27,'Factura Socios Sen CE'!O2))*'Datos Custos Factura Eléctrica'!$B$5</f>
        <v>19.5</v>
      </c>
      <c r="P5" s="1263">
        <f ca="1">(INDEX('Datos Socios'!$B$2:$B$27,'Factura Socios Sen CE'!P2))*'Datos Custos Factura Eléctrica'!$B$5</f>
        <v>29.700000000000003</v>
      </c>
      <c r="Q5" s="1263">
        <f ca="1">(INDEX('Datos Socios'!$B$2:$B$27,'Factura Socios Sen CE'!Q2))*'Datos Custos Factura Eléctrica'!$B$5</f>
        <v>52.5</v>
      </c>
      <c r="R5" s="1263">
        <f ca="1">(INDEX('Datos Socios'!$B$2:$B$27,'Factura Socios Sen CE'!R2))*'Datos Custos Factura Eléctrica'!$B$5</f>
        <v>48.5</v>
      </c>
      <c r="S5" s="1263">
        <f ca="1">(INDEX('Datos Socios'!$B$2:$B$27,'Factura Socios Sen CE'!S2))*'Datos Custos Factura Eléctrica'!$B$5</f>
        <v>33.1</v>
      </c>
      <c r="T5" s="1263">
        <f ca="1">(INDEX('Datos Socios'!$B$2:$B$27,'Factura Socios Sen CE'!T2))*'Datos Custos Factura Eléctrica'!$B$5</f>
        <v>14.200000000000001</v>
      </c>
      <c r="U5" s="1263">
        <f ca="1">(INDEX('Datos Socios'!$B$2:$B$27,'Factura Socios Sen CE'!U2))*'Datos Custos Factura Eléctrica'!$B$5</f>
        <v>31.5</v>
      </c>
      <c r="V5" s="1263">
        <f ca="1">(INDEX('Datos Socios'!$B$2:$B$27,'Factura Socios Sen CE'!V2))*'Datos Custos Factura Eléctrica'!$B$5</f>
        <v>18</v>
      </c>
      <c r="W5" s="1263">
        <f ca="1">(INDEX('Datos Socios'!$B$2:$B$27,'Factura Socios Sen CE'!W2))*'Datos Custos Factura Eléctrica'!$B$5</f>
        <v>14.9</v>
      </c>
      <c r="X5" s="1263">
        <f ca="1">(INDEX('Datos Socios'!$B$2:$B$27,'Factura Socios Sen CE'!X2))*'Datos Custos Factura Eléctrica'!$B$5</f>
        <v>32.200000000000003</v>
      </c>
      <c r="Y5" s="1263">
        <f ca="1">(INDEX('Datos Socios'!$B$2:$B$27,'Factura Socios Sen CE'!Y2))*'Datos Custos Factura Eléctrica'!$B$5</f>
        <v>29.5</v>
      </c>
      <c r="Z5" s="1263">
        <f ca="1">(INDEX('Datos Socios'!$B$2:$B$27,'Factura Socios Sen CE'!Z2))*'Datos Custos Factura Eléctrica'!$B$5</f>
        <v>7.9</v>
      </c>
      <c r="AA5" s="150">
        <f ca="1">SUM(B5:Z5)</f>
        <v>648.70000000000005</v>
      </c>
    </row>
    <row r="6" spans="1:27" ht="15" thickBot="1" x14ac:dyDescent="0.4">
      <c r="A6" s="394" t="s">
        <v>577</v>
      </c>
      <c r="B6" s="1268">
        <f>'Datos Custos Factura Eléctrica'!$B$6*(365/12)</f>
        <v>1.1696729166666668</v>
      </c>
      <c r="C6" s="1268">
        <f>'Datos Custos Factura Eléctrica'!$B$6*(365/12)</f>
        <v>1.1696729166666668</v>
      </c>
      <c r="D6" s="1268">
        <f>'Datos Custos Factura Eléctrica'!$B$6*(365/12)</f>
        <v>1.1696729166666668</v>
      </c>
      <c r="E6" s="1268">
        <f>'Datos Custos Factura Eléctrica'!$B$6*(365/12)</f>
        <v>1.1696729166666668</v>
      </c>
      <c r="F6" s="1268">
        <f>'Datos Custos Factura Eléctrica'!$B$6*(365/12)</f>
        <v>1.1696729166666668</v>
      </c>
      <c r="G6" s="1268">
        <f>'Datos Custos Factura Eléctrica'!$B$6*(365/12)</f>
        <v>1.1696729166666668</v>
      </c>
      <c r="H6" s="1268">
        <f>'Datos Custos Factura Eléctrica'!$B$6*(365/12)</f>
        <v>1.1696729166666668</v>
      </c>
      <c r="I6" s="1268">
        <f>'Datos Custos Factura Eléctrica'!$B$6*(365/12)</f>
        <v>1.1696729166666668</v>
      </c>
      <c r="J6" s="1268">
        <f>'Datos Custos Factura Eléctrica'!$B$6*(365/12)</f>
        <v>1.1696729166666668</v>
      </c>
      <c r="K6" s="1268">
        <f>'Datos Custos Factura Eléctrica'!$B$6*(365/12)</f>
        <v>1.1696729166666668</v>
      </c>
      <c r="L6" s="1268">
        <f>'Datos Custos Factura Eléctrica'!$B$6*(365/12)</f>
        <v>1.1696729166666668</v>
      </c>
      <c r="M6" s="1268">
        <f>'Datos Custos Factura Eléctrica'!$B$6*(365/12)</f>
        <v>1.1696729166666668</v>
      </c>
      <c r="N6" s="1268">
        <f>'Datos Custos Factura Eléctrica'!$B$6*(365/12)</f>
        <v>1.1696729166666668</v>
      </c>
      <c r="O6" s="1268">
        <f>'Datos Custos Factura Eléctrica'!$B$6*(365/12)</f>
        <v>1.1696729166666668</v>
      </c>
      <c r="P6" s="1268">
        <f>'Datos Custos Factura Eléctrica'!$B$6*(365/12)</f>
        <v>1.1696729166666668</v>
      </c>
      <c r="Q6" s="1268">
        <f>'Datos Custos Factura Eléctrica'!$B$6*(365/12)</f>
        <v>1.1696729166666668</v>
      </c>
      <c r="R6" s="1268">
        <f>'Datos Custos Factura Eléctrica'!$B$6*(365/12)</f>
        <v>1.1696729166666668</v>
      </c>
      <c r="S6" s="1268">
        <f>'Datos Custos Factura Eléctrica'!$B$6*(365/12)</f>
        <v>1.1696729166666668</v>
      </c>
      <c r="T6" s="1268">
        <f>'Datos Custos Factura Eléctrica'!$B$6*(365/12)</f>
        <v>1.1696729166666668</v>
      </c>
      <c r="U6" s="1268">
        <f>'Datos Custos Factura Eléctrica'!$B$6*(365/12)</f>
        <v>1.1696729166666668</v>
      </c>
      <c r="V6" s="1268">
        <f>'Datos Custos Factura Eléctrica'!$B$6*(365/12)</f>
        <v>1.1696729166666668</v>
      </c>
      <c r="W6" s="1268">
        <f>'Datos Custos Factura Eléctrica'!$B$6*(365/12)</f>
        <v>1.1696729166666668</v>
      </c>
      <c r="X6" s="1268">
        <f>'Datos Custos Factura Eléctrica'!$B$6*(365/12)</f>
        <v>1.1696729166666668</v>
      </c>
      <c r="Y6" s="1268">
        <f>'Datos Custos Factura Eléctrica'!$B$6*(365/12)</f>
        <v>1.1696729166666668</v>
      </c>
      <c r="Z6" s="1268">
        <f>'Datos Custos Factura Eléctrica'!$B$6*(365/12)</f>
        <v>1.1696729166666668</v>
      </c>
      <c r="AA6" s="150">
        <f>SUM(B6:Z6)</f>
        <v>29.241822916666663</v>
      </c>
    </row>
    <row r="7" spans="1:27" ht="15" thickBot="1" x14ac:dyDescent="0.4">
      <c r="A7" s="1267" t="s">
        <v>1104</v>
      </c>
      <c r="B7" s="1266">
        <f t="shared" ref="B7:Z7" ca="1" si="0">SUM(B3:B6)</f>
        <v>29.81842291666667</v>
      </c>
      <c r="C7" s="1266">
        <f t="shared" ca="1" si="0"/>
        <v>27.218422916666668</v>
      </c>
      <c r="D7" s="1266">
        <f t="shared" ca="1" si="0"/>
        <v>57.618422916666674</v>
      </c>
      <c r="E7" s="1266">
        <f t="shared" ca="1" si="0"/>
        <v>47.618422916666674</v>
      </c>
      <c r="F7" s="1266">
        <f t="shared" ca="1" si="0"/>
        <v>38.818422916666677</v>
      </c>
      <c r="G7" s="1266">
        <f t="shared" ca="1" si="0"/>
        <v>66.01842291666668</v>
      </c>
      <c r="H7" s="1266">
        <f t="shared" ca="1" si="0"/>
        <v>37.418422916666671</v>
      </c>
      <c r="I7" s="1266">
        <f t="shared" ca="1" si="0"/>
        <v>34.918422916666671</v>
      </c>
      <c r="J7" s="1266">
        <f t="shared" ca="1" si="0"/>
        <v>28.11842291666667</v>
      </c>
      <c r="K7" s="1266">
        <f t="shared" ca="1" si="0"/>
        <v>43.818422916666677</v>
      </c>
      <c r="L7" s="1266">
        <f t="shared" ca="1" si="0"/>
        <v>26.218422916666668</v>
      </c>
      <c r="M7" s="1266">
        <f t="shared" ca="1" si="0"/>
        <v>42.318422916666677</v>
      </c>
      <c r="N7" s="1266">
        <f t="shared" ca="1" si="0"/>
        <v>22.11842291666667</v>
      </c>
      <c r="O7" s="1266">
        <f t="shared" ca="1" si="0"/>
        <v>33.718422916666668</v>
      </c>
      <c r="P7" s="1266">
        <f t="shared" ca="1" si="0"/>
        <v>43.918422916666671</v>
      </c>
      <c r="Q7" s="1266">
        <f t="shared" ca="1" si="0"/>
        <v>66.718422916666668</v>
      </c>
      <c r="R7" s="1266">
        <f t="shared" ca="1" si="0"/>
        <v>62.718422916666668</v>
      </c>
      <c r="S7" s="1266">
        <f t="shared" ca="1" si="0"/>
        <v>47.318422916666677</v>
      </c>
      <c r="T7" s="1266">
        <f t="shared" ca="1" si="0"/>
        <v>28.418422916666668</v>
      </c>
      <c r="U7" s="1266">
        <f t="shared" ca="1" si="0"/>
        <v>45.718422916666668</v>
      </c>
      <c r="V7" s="1266">
        <f t="shared" ca="1" si="0"/>
        <v>32.218422916666668</v>
      </c>
      <c r="W7" s="1266">
        <f t="shared" ca="1" si="0"/>
        <v>29.11842291666667</v>
      </c>
      <c r="X7" s="1266">
        <f t="shared" ca="1" si="0"/>
        <v>46.418422916666671</v>
      </c>
      <c r="Y7" s="1265">
        <f t="shared" ca="1" si="0"/>
        <v>43.718422916666668</v>
      </c>
      <c r="Z7" s="1264">
        <f t="shared" ca="1" si="0"/>
        <v>22.11842291666667</v>
      </c>
      <c r="AA7" s="1264">
        <f ca="1">SUM(B7:Z7)</f>
        <v>1004.1605729166669</v>
      </c>
    </row>
    <row r="8" spans="1:27" x14ac:dyDescent="0.35">
      <c r="A8" s="394"/>
      <c r="B8" s="371"/>
      <c r="C8" s="38"/>
    </row>
    <row r="9" spans="1:27" x14ac:dyDescent="0.35">
      <c r="A9" s="394" t="s">
        <v>582</v>
      </c>
      <c r="B9" s="1263">
        <f ca="1">B7*'Simulac. Factura Indiv. Sen CE'!$C$8</f>
        <v>0.14909211458333335</v>
      </c>
      <c r="C9" s="1263">
        <f ca="1">C7*'Simulac. Factura Indiv. Sen CE'!$C$8</f>
        <v>0.13609211458333334</v>
      </c>
      <c r="D9" s="1263">
        <f ca="1">D7*'Simulac. Factura Indiv. Sen CE'!$C$8</f>
        <v>0.28809211458333339</v>
      </c>
      <c r="E9" s="1263">
        <f ca="1">E7*'Simulac. Factura Indiv. Sen CE'!$C$8</f>
        <v>0.23809211458333338</v>
      </c>
      <c r="F9" s="1263">
        <f ca="1">F7*'Simulac. Factura Indiv. Sen CE'!$C$8</f>
        <v>0.19409211458333339</v>
      </c>
      <c r="G9" s="1263">
        <f ca="1">G7*'Simulac. Factura Indiv. Sen CE'!$C$8</f>
        <v>0.33009211458333343</v>
      </c>
      <c r="H9" s="1263">
        <f ca="1">H7*'Simulac. Factura Indiv. Sen CE'!$C$8</f>
        <v>0.18709211458333336</v>
      </c>
      <c r="I9" s="1263">
        <f ca="1">I7*'Simulac. Factura Indiv. Sen CE'!$C$8</f>
        <v>0.17459211458333335</v>
      </c>
      <c r="J9" s="1263">
        <f ca="1">J7*'Simulac. Factura Indiv. Sen CE'!$C$8</f>
        <v>0.14059211458333334</v>
      </c>
      <c r="K9" s="1263">
        <f ca="1">K7*'Simulac. Factura Indiv. Sen CE'!$C$8</f>
        <v>0.21909211458333339</v>
      </c>
      <c r="L9" s="1263">
        <f ca="1">L7*'Simulac. Factura Indiv. Sen CE'!$C$8</f>
        <v>0.13109211458333334</v>
      </c>
      <c r="M9" s="1263">
        <f ca="1">M7*'Simulac. Factura Indiv. Sen CE'!$C$8</f>
        <v>0.21159211458333338</v>
      </c>
      <c r="N9" s="1263">
        <f ca="1">N7*'Simulac. Factura Indiv. Sen CE'!$C$8</f>
        <v>0.11059211458333336</v>
      </c>
      <c r="O9" s="1263">
        <f ca="1">O7*'Simulac. Factura Indiv. Sen CE'!$C$8</f>
        <v>0.16859211458333334</v>
      </c>
      <c r="P9" s="1263">
        <f ca="1">P7*'Simulac. Factura Indiv. Sen CE'!$C$8</f>
        <v>0.21959211458333336</v>
      </c>
      <c r="Q9" s="1263">
        <f ca="1">Q7*'Simulac. Factura Indiv. Sen CE'!$C$8</f>
        <v>0.33359211458333332</v>
      </c>
      <c r="R9" s="1263">
        <f ca="1">R7*'Simulac. Factura Indiv. Sen CE'!$C$8</f>
        <v>0.31359211458333336</v>
      </c>
      <c r="S9" s="1263">
        <f ca="1">S7*'Simulac. Factura Indiv. Sen CE'!$C$8</f>
        <v>0.2365921145833334</v>
      </c>
      <c r="T9" s="1263">
        <f ca="1">T7*'Simulac. Factura Indiv. Sen CE'!$C$8</f>
        <v>0.14209211458333335</v>
      </c>
      <c r="U9" s="1263">
        <f ca="1">U7*'Simulac. Factura Indiv. Sen CE'!$C$8</f>
        <v>0.22859211458333334</v>
      </c>
      <c r="V9" s="1263">
        <f ca="1">V7*'Simulac. Factura Indiv. Sen CE'!$C$8</f>
        <v>0.16109211458333333</v>
      </c>
      <c r="W9" s="1263">
        <f ca="1">W7*'Simulac. Factura Indiv. Sen CE'!$C$8</f>
        <v>0.14559211458333335</v>
      </c>
      <c r="X9" s="1263">
        <f ca="1">X7*'Simulac. Factura Indiv. Sen CE'!$C$8</f>
        <v>0.23209211458333337</v>
      </c>
      <c r="Y9" s="1263">
        <f ca="1">Y7*'Simulac. Factura Indiv. Sen CE'!$C$8</f>
        <v>0.21859211458333336</v>
      </c>
      <c r="Z9" s="1263">
        <f ca="1">Z7*'Simulac. Factura Indiv. Sen CE'!$C$8</f>
        <v>0.11059211458333336</v>
      </c>
      <c r="AA9" s="150">
        <f ca="1">SUM(B9:Z9)</f>
        <v>5.0208028645833345</v>
      </c>
    </row>
    <row r="10" spans="1:27" x14ac:dyDescent="0.35">
      <c r="A10" s="394"/>
      <c r="B10" s="371"/>
      <c r="C10" s="38"/>
    </row>
    <row r="11" spans="1:27" x14ac:dyDescent="0.35">
      <c r="A11" s="394" t="s">
        <v>585</v>
      </c>
      <c r="B11" s="1268">
        <f>'Datos Custos Factura Eléctrica'!$B$11*(365/12)</f>
        <v>0.81474083333333336</v>
      </c>
      <c r="C11" s="1268">
        <f>'Datos Custos Factura Eléctrica'!$B$11*(365/12)</f>
        <v>0.81474083333333336</v>
      </c>
      <c r="D11" s="1268">
        <f>'Datos Custos Factura Eléctrica'!$B$11*(365/12)</f>
        <v>0.81474083333333336</v>
      </c>
      <c r="E11" s="1268">
        <f>'Datos Custos Factura Eléctrica'!$B$11*(365/12)</f>
        <v>0.81474083333333336</v>
      </c>
      <c r="F11" s="1268">
        <f>'Datos Custos Factura Eléctrica'!$B$11*(365/12)</f>
        <v>0.81474083333333336</v>
      </c>
      <c r="G11" s="1268">
        <f>'Datos Custos Factura Eléctrica'!$B$11*(365/12)</f>
        <v>0.81474083333333336</v>
      </c>
      <c r="H11" s="1268">
        <f>'Datos Custos Factura Eléctrica'!$B$11*(365/12)</f>
        <v>0.81474083333333336</v>
      </c>
      <c r="I11" s="1268">
        <f>'Datos Custos Factura Eléctrica'!$B$11*(365/12)</f>
        <v>0.81474083333333336</v>
      </c>
      <c r="J11" s="1268">
        <f>'Datos Custos Factura Eléctrica'!$B$11*(365/12)</f>
        <v>0.81474083333333336</v>
      </c>
      <c r="K11" s="1268">
        <f>'Datos Custos Factura Eléctrica'!$B$11*(365/12)</f>
        <v>0.81474083333333336</v>
      </c>
      <c r="L11" s="1268">
        <f>'Datos Custos Factura Eléctrica'!$B$11*(365/12)</f>
        <v>0.81474083333333336</v>
      </c>
      <c r="M11" s="1268">
        <f>'Datos Custos Factura Eléctrica'!$B$11*(365/12)</f>
        <v>0.81474083333333336</v>
      </c>
      <c r="N11" s="1268">
        <f>'Datos Custos Factura Eléctrica'!$B$11*(365/12)</f>
        <v>0.81474083333333336</v>
      </c>
      <c r="O11" s="1268">
        <f>'Datos Custos Factura Eléctrica'!$B$11*(365/12)</f>
        <v>0.81474083333333336</v>
      </c>
      <c r="P11" s="1268">
        <f>'Datos Custos Factura Eléctrica'!$B$11*(365/12)</f>
        <v>0.81474083333333336</v>
      </c>
      <c r="Q11" s="1268">
        <f>'Datos Custos Factura Eléctrica'!$B$11*(365/12)</f>
        <v>0.81474083333333336</v>
      </c>
      <c r="R11" s="1268">
        <f>'Datos Custos Factura Eléctrica'!$B$11*(365/12)</f>
        <v>0.81474083333333336</v>
      </c>
      <c r="S11" s="1268">
        <f>'Datos Custos Factura Eléctrica'!$B$11*(365/12)</f>
        <v>0.81474083333333336</v>
      </c>
      <c r="T11" s="1268">
        <f>'Datos Custos Factura Eléctrica'!$B$11*(365/12)</f>
        <v>0.81474083333333336</v>
      </c>
      <c r="U11" s="1268">
        <f>'Datos Custos Factura Eléctrica'!$B$11*(365/12)</f>
        <v>0.81474083333333336</v>
      </c>
      <c r="V11" s="1268">
        <f>'Datos Custos Factura Eléctrica'!$B$11*(365/12)</f>
        <v>0.81474083333333336</v>
      </c>
      <c r="W11" s="1268">
        <f>'Datos Custos Factura Eléctrica'!$B$11*(365/12)</f>
        <v>0.81474083333333336</v>
      </c>
      <c r="X11" s="1268">
        <f>'Datos Custos Factura Eléctrica'!$B$11*(365/12)</f>
        <v>0.81474083333333336</v>
      </c>
      <c r="Y11" s="1268">
        <f>'Datos Custos Factura Eléctrica'!$B$11*(365/12)</f>
        <v>0.81474083333333336</v>
      </c>
      <c r="Z11" s="1268">
        <f>'Datos Custos Factura Eléctrica'!$B$11*(365/12)</f>
        <v>0.81474083333333336</v>
      </c>
      <c r="AA11" s="150">
        <f>SUM(B11:Z11)</f>
        <v>20.368520833333324</v>
      </c>
    </row>
    <row r="12" spans="1:27" ht="15" thickBot="1" x14ac:dyDescent="0.4">
      <c r="A12" s="394"/>
      <c r="B12" s="371"/>
      <c r="C12" s="38"/>
    </row>
    <row r="13" spans="1:27" ht="15" thickBot="1" x14ac:dyDescent="0.4">
      <c r="A13" s="1267" t="s">
        <v>1103</v>
      </c>
      <c r="B13" s="1266">
        <f t="shared" ref="B13:Z13" ca="1" si="1">B7+B9+B11</f>
        <v>30.782255864583334</v>
      </c>
      <c r="C13" s="1266">
        <f t="shared" ca="1" si="1"/>
        <v>28.169255864583334</v>
      </c>
      <c r="D13" s="1266">
        <f t="shared" ca="1" si="1"/>
        <v>58.721255864583341</v>
      </c>
      <c r="E13" s="1266">
        <f t="shared" ca="1" si="1"/>
        <v>48.671255864583337</v>
      </c>
      <c r="F13" s="1266">
        <f t="shared" ca="1" si="1"/>
        <v>39.827255864583343</v>
      </c>
      <c r="G13" s="1266">
        <f t="shared" ca="1" si="1"/>
        <v>67.163255864583348</v>
      </c>
      <c r="H13" s="1266">
        <f t="shared" ca="1" si="1"/>
        <v>38.420255864583339</v>
      </c>
      <c r="I13" s="1266">
        <f t="shared" ca="1" si="1"/>
        <v>35.907755864583336</v>
      </c>
      <c r="J13" s="1266">
        <f t="shared" ca="1" si="1"/>
        <v>29.073755864583337</v>
      </c>
      <c r="K13" s="1266">
        <f t="shared" ca="1" si="1"/>
        <v>44.852255864583341</v>
      </c>
      <c r="L13" s="1266">
        <f t="shared" ca="1" si="1"/>
        <v>27.164255864583332</v>
      </c>
      <c r="M13" s="1266">
        <f t="shared" ca="1" si="1"/>
        <v>43.344755864583341</v>
      </c>
      <c r="N13" s="1266">
        <f t="shared" ca="1" si="1"/>
        <v>23.043755864583336</v>
      </c>
      <c r="O13" s="1266">
        <f t="shared" ca="1" si="1"/>
        <v>34.701755864583333</v>
      </c>
      <c r="P13" s="1266">
        <f t="shared" ca="1" si="1"/>
        <v>44.952755864583338</v>
      </c>
      <c r="Q13" s="1266">
        <f t="shared" ca="1" si="1"/>
        <v>67.86675586458334</v>
      </c>
      <c r="R13" s="1266">
        <f t="shared" ca="1" si="1"/>
        <v>63.846755864583336</v>
      </c>
      <c r="S13" s="1266">
        <f t="shared" ca="1" si="1"/>
        <v>48.36975586458334</v>
      </c>
      <c r="T13" s="1266">
        <f t="shared" ca="1" si="1"/>
        <v>29.375255864583334</v>
      </c>
      <c r="U13" s="1266">
        <f t="shared" ca="1" si="1"/>
        <v>46.761755864583336</v>
      </c>
      <c r="V13" s="1266">
        <f t="shared" ca="1" si="1"/>
        <v>33.194255864583333</v>
      </c>
      <c r="W13" s="1266">
        <f t="shared" ca="1" si="1"/>
        <v>30.078755864583336</v>
      </c>
      <c r="X13" s="1266">
        <f t="shared" ca="1" si="1"/>
        <v>47.465255864583334</v>
      </c>
      <c r="Y13" s="1265">
        <f t="shared" ca="1" si="1"/>
        <v>44.75175586458333</v>
      </c>
      <c r="Z13" s="1264">
        <f t="shared" ca="1" si="1"/>
        <v>23.043755864583336</v>
      </c>
      <c r="AA13" s="1264">
        <f ca="1">SUM(B13:Z13)</f>
        <v>1029.5498966145833</v>
      </c>
    </row>
    <row r="14" spans="1:27" x14ac:dyDescent="0.35">
      <c r="A14" s="394"/>
      <c r="B14" s="371"/>
      <c r="C14" s="38"/>
    </row>
    <row r="15" spans="1:27" x14ac:dyDescent="0.35">
      <c r="A15" s="394" t="s">
        <v>1102</v>
      </c>
      <c r="B15" s="1263">
        <f ca="1">'Simulac. Factura Indiv. Sen CE'!$C$14*B13</f>
        <v>6.4642737315624998</v>
      </c>
      <c r="C15" s="1263">
        <f ca="1">'Simulac. Factura Indiv. Sen CE'!$C$14*C13</f>
        <v>5.9155437315624999</v>
      </c>
      <c r="D15" s="1263">
        <f ca="1">'Simulac. Factura Indiv. Sen CE'!$C$14*D13</f>
        <v>12.331463731562501</v>
      </c>
      <c r="E15" s="1263">
        <f ca="1">'Simulac. Factura Indiv. Sen CE'!$C$14*E13</f>
        <v>10.220963731562501</v>
      </c>
      <c r="F15" s="1263">
        <f ca="1">'Simulac. Factura Indiv. Sen CE'!$C$14*F13</f>
        <v>8.3637237315625015</v>
      </c>
      <c r="G15" s="1263">
        <f ca="1">'Simulac. Factura Indiv. Sen CE'!$C$14*G13</f>
        <v>14.104283731562502</v>
      </c>
      <c r="H15" s="1263">
        <f ca="1">'Simulac. Factura Indiv. Sen CE'!$C$14*H13</f>
        <v>8.0682537315625016</v>
      </c>
      <c r="I15" s="1263">
        <f ca="1">'Simulac. Factura Indiv. Sen CE'!$C$14*I13</f>
        <v>7.5406287315625002</v>
      </c>
      <c r="J15" s="1263">
        <f ca="1">'Simulac. Factura Indiv. Sen CE'!$C$14*J13</f>
        <v>6.1054887315625006</v>
      </c>
      <c r="K15" s="1263">
        <f ca="1">'Simulac. Factura Indiv. Sen CE'!$C$14*K13</f>
        <v>9.4189737315625006</v>
      </c>
      <c r="L15" s="1263">
        <f ca="1">'Simulac. Factura Indiv. Sen CE'!$C$14*L13</f>
        <v>5.7044937315624997</v>
      </c>
      <c r="M15" s="1263">
        <f ca="1">'Simulac. Factura Indiv. Sen CE'!$C$14*M13</f>
        <v>9.1023987315625021</v>
      </c>
      <c r="N15" s="1263">
        <f ca="1">'Simulac. Factura Indiv. Sen CE'!$C$14*N13</f>
        <v>4.8391887315625004</v>
      </c>
      <c r="O15" s="1263">
        <f ca="1">'Simulac. Factura Indiv. Sen CE'!$C$14*O13</f>
        <v>7.2873687315624993</v>
      </c>
      <c r="P15" s="1263">
        <f ca="1">'Simulac. Factura Indiv. Sen CE'!$C$14*P13</f>
        <v>9.440078731562501</v>
      </c>
      <c r="Q15" s="1263">
        <f ca="1">'Simulac. Factura Indiv. Sen CE'!$C$14*Q13</f>
        <v>14.252018731562501</v>
      </c>
      <c r="R15" s="1263">
        <f ca="1">'Simulac. Factura Indiv. Sen CE'!$C$14*R13</f>
        <v>13.4078187315625</v>
      </c>
      <c r="S15" s="1263">
        <f ca="1">'Simulac. Factura Indiv. Sen CE'!$C$14*S13</f>
        <v>10.157648731562501</v>
      </c>
      <c r="T15" s="1263">
        <f ca="1">'Simulac. Factura Indiv. Sen CE'!$C$14*T13</f>
        <v>6.1688037315624999</v>
      </c>
      <c r="U15" s="1263">
        <f ca="1">'Simulac. Factura Indiv. Sen CE'!$C$14*U13</f>
        <v>9.8199687315625006</v>
      </c>
      <c r="V15" s="1263">
        <f ca="1">'Simulac. Factura Indiv. Sen CE'!$C$14*V13</f>
        <v>6.9707937315624999</v>
      </c>
      <c r="W15" s="1263">
        <f ca="1">'Simulac. Factura Indiv. Sen CE'!$C$14*W13</f>
        <v>6.3165387315624999</v>
      </c>
      <c r="X15" s="1263">
        <f ca="1">'Simulac. Factura Indiv. Sen CE'!$C$14*X13</f>
        <v>9.9677037315624997</v>
      </c>
      <c r="Y15" s="1263">
        <f ca="1">'Simulac. Factura Indiv. Sen CE'!$C$14*Y13</f>
        <v>9.3978687315624985</v>
      </c>
      <c r="Z15" s="1263">
        <f ca="1">'Simulac. Factura Indiv. Sen CE'!$C$14*Z13</f>
        <v>4.8391887315625004</v>
      </c>
      <c r="AA15" s="150">
        <f ca="1">SUM(B15:Z15)</f>
        <v>216.20547828906251</v>
      </c>
    </row>
    <row r="16" spans="1:27" ht="15" thickBot="1" x14ac:dyDescent="0.4">
      <c r="A16" s="394"/>
      <c r="B16" s="371"/>
      <c r="C16" s="38"/>
    </row>
    <row r="17" spans="1:27" ht="15" thickBot="1" x14ac:dyDescent="0.4">
      <c r="A17" s="1262" t="s">
        <v>1101</v>
      </c>
      <c r="B17" s="1261">
        <f t="shared" ref="B17:Z17" ca="1" si="2">B13+B15</f>
        <v>37.246529596145834</v>
      </c>
      <c r="C17" s="1261">
        <f t="shared" ca="1" si="2"/>
        <v>34.084799596145835</v>
      </c>
      <c r="D17" s="1261">
        <f t="shared" ca="1" si="2"/>
        <v>71.052719596145835</v>
      </c>
      <c r="E17" s="1261">
        <f t="shared" ca="1" si="2"/>
        <v>58.892219596145836</v>
      </c>
      <c r="F17" s="1261">
        <f t="shared" ca="1" si="2"/>
        <v>48.190979596145844</v>
      </c>
      <c r="G17" s="1261">
        <f t="shared" ca="1" si="2"/>
        <v>81.267539596145852</v>
      </c>
      <c r="H17" s="1261">
        <f t="shared" ca="1" si="2"/>
        <v>46.488509596145839</v>
      </c>
      <c r="I17" s="1261">
        <f t="shared" ca="1" si="2"/>
        <v>43.448384596145836</v>
      </c>
      <c r="J17" s="1261">
        <f t="shared" ca="1" si="2"/>
        <v>35.179244596145836</v>
      </c>
      <c r="K17" s="1261">
        <f t="shared" ca="1" si="2"/>
        <v>54.271229596145844</v>
      </c>
      <c r="L17" s="1261">
        <f t="shared" ca="1" si="2"/>
        <v>32.868749596145832</v>
      </c>
      <c r="M17" s="1261">
        <f t="shared" ca="1" si="2"/>
        <v>52.447154596145843</v>
      </c>
      <c r="N17" s="1261">
        <f t="shared" ca="1" si="2"/>
        <v>27.882944596145837</v>
      </c>
      <c r="O17" s="1261">
        <f t="shared" ca="1" si="2"/>
        <v>41.989124596145835</v>
      </c>
      <c r="P17" s="1261">
        <f t="shared" ca="1" si="2"/>
        <v>54.392834596145839</v>
      </c>
      <c r="Q17" s="1261">
        <f t="shared" ca="1" si="2"/>
        <v>82.11877459614584</v>
      </c>
      <c r="R17" s="1261">
        <f t="shared" ca="1" si="2"/>
        <v>77.254574596145829</v>
      </c>
      <c r="S17" s="1261">
        <f t="shared" ca="1" si="2"/>
        <v>58.527404596145843</v>
      </c>
      <c r="T17" s="1261">
        <f t="shared" ca="1" si="2"/>
        <v>35.544059596145836</v>
      </c>
      <c r="U17" s="1261">
        <f t="shared" ca="1" si="2"/>
        <v>56.581724596145833</v>
      </c>
      <c r="V17" s="1261">
        <f t="shared" ca="1" si="2"/>
        <v>40.165049596145835</v>
      </c>
      <c r="W17" s="1261">
        <f t="shared" ca="1" si="2"/>
        <v>36.395294596145838</v>
      </c>
      <c r="X17" s="1261">
        <f t="shared" ca="1" si="2"/>
        <v>57.432959596145835</v>
      </c>
      <c r="Y17" s="1261">
        <f t="shared" ca="1" si="2"/>
        <v>54.149624596145827</v>
      </c>
      <c r="Z17" s="1260">
        <f t="shared" ca="1" si="2"/>
        <v>27.882944596145837</v>
      </c>
      <c r="AA17" s="1259">
        <f ca="1">SUM(B17:Z17)</f>
        <v>1245.7553749036458</v>
      </c>
    </row>
    <row r="18" spans="1:27" x14ac:dyDescent="0.35">
      <c r="B18" s="371"/>
      <c r="C18" s="38"/>
    </row>
    <row r="19" spans="1:27" x14ac:dyDescent="0.35">
      <c r="B19" s="371"/>
      <c r="C19" s="38"/>
    </row>
    <row r="20" spans="1:27" x14ac:dyDescent="0.35">
      <c r="B20" s="371"/>
      <c r="C20" s="38"/>
    </row>
    <row r="21" spans="1:27" x14ac:dyDescent="0.35">
      <c r="B21" s="371"/>
      <c r="C21" s="38"/>
    </row>
    <row r="22" spans="1:27" x14ac:dyDescent="0.35">
      <c r="B22" s="371"/>
      <c r="C22" s="38"/>
    </row>
    <row r="23" spans="1:27" x14ac:dyDescent="0.35">
      <c r="B23" s="371"/>
      <c r="C23" s="38"/>
    </row>
    <row r="24" spans="1:27" x14ac:dyDescent="0.35">
      <c r="B24" s="371"/>
      <c r="C24" s="38"/>
    </row>
    <row r="25" spans="1:27" x14ac:dyDescent="0.35">
      <c r="B25" s="371"/>
      <c r="C25" s="38"/>
    </row>
    <row r="26" spans="1:27" x14ac:dyDescent="0.35">
      <c r="B26" s="371"/>
      <c r="C26" s="1258"/>
    </row>
  </sheetData>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37B89-A1CE-4DB9-9036-AD2AF175103B}">
  <dimension ref="A1:AB62"/>
  <sheetViews>
    <sheetView topLeftCell="A42" workbookViewId="0">
      <selection activeCell="F2" sqref="F2"/>
    </sheetView>
  </sheetViews>
  <sheetFormatPr baseColWidth="10" defaultColWidth="11.54296875" defaultRowHeight="14.5" x14ac:dyDescent="0.35"/>
  <cols>
    <col min="1" max="1" width="53.453125" bestFit="1" customWidth="1"/>
    <col min="2" max="2" width="12.54296875" bestFit="1" customWidth="1"/>
    <col min="3" max="3" width="13.90625" customWidth="1"/>
    <col min="4" max="4" width="14.453125" customWidth="1"/>
    <col min="27" max="27" width="12.54296875" bestFit="1" customWidth="1"/>
  </cols>
  <sheetData>
    <row r="1" spans="1:27" x14ac:dyDescent="0.35">
      <c r="B1" s="174" t="s">
        <v>1156</v>
      </c>
      <c r="C1" s="1269"/>
    </row>
    <row r="2" spans="1:27" ht="43.5" x14ac:dyDescent="0.35">
      <c r="B2" s="371">
        <v>1</v>
      </c>
      <c r="C2" s="371">
        <v>2</v>
      </c>
      <c r="D2" s="371">
        <v>3</v>
      </c>
      <c r="E2" s="371">
        <v>4</v>
      </c>
      <c r="F2" s="371">
        <v>5</v>
      </c>
      <c r="G2" s="371">
        <v>6</v>
      </c>
      <c r="H2" s="371">
        <v>7</v>
      </c>
      <c r="I2" s="371">
        <v>8</v>
      </c>
      <c r="J2" s="371">
        <v>9</v>
      </c>
      <c r="K2" s="371">
        <v>10</v>
      </c>
      <c r="L2" s="371">
        <v>11</v>
      </c>
      <c r="M2" s="371">
        <v>12</v>
      </c>
      <c r="N2" s="371">
        <v>13</v>
      </c>
      <c r="O2" s="371">
        <v>14</v>
      </c>
      <c r="P2" s="371">
        <v>15</v>
      </c>
      <c r="Q2" s="371">
        <v>16</v>
      </c>
      <c r="R2" s="371">
        <v>17</v>
      </c>
      <c r="S2" s="371">
        <v>18</v>
      </c>
      <c r="T2" s="371">
        <v>19</v>
      </c>
      <c r="U2" s="371">
        <v>20</v>
      </c>
      <c r="V2" s="371">
        <v>21</v>
      </c>
      <c r="W2" s="371">
        <v>22</v>
      </c>
      <c r="X2" s="371">
        <v>23</v>
      </c>
      <c r="Y2" s="371">
        <v>24</v>
      </c>
      <c r="Z2" s="371">
        <v>25</v>
      </c>
      <c r="AA2" s="371" t="s">
        <v>1148</v>
      </c>
    </row>
    <row r="3" spans="1:27" x14ac:dyDescent="0.35">
      <c r="A3" s="394" t="s">
        <v>571</v>
      </c>
      <c r="B3" s="1268">
        <f>'Simulac. Factura Indiv. Sen CE'!$B$3*(365/12)*'Datos Custos Factura Eléctrica'!$B$3</f>
        <v>10.037500000000001</v>
      </c>
      <c r="C3" s="1268">
        <f>'Simulac. Factura Indiv. Sen CE'!$B$3*(365/12)*'Datos Custos Factura Eléctrica'!$B$3</f>
        <v>10.037500000000001</v>
      </c>
      <c r="D3" s="1268">
        <f>'Simulac. Factura Indiv. Sen CE'!$B$3*(365/12)*'Datos Custos Factura Eléctrica'!$B$3</f>
        <v>10.037500000000001</v>
      </c>
      <c r="E3" s="1268">
        <f>'Simulac. Factura Indiv. Sen CE'!$B$3*(365/12)*'Datos Custos Factura Eléctrica'!$B$3</f>
        <v>10.037500000000001</v>
      </c>
      <c r="F3" s="1268">
        <f>'Simulac. Factura Indiv. Sen CE'!$B$3*(365/12)*'Datos Custos Factura Eléctrica'!$B$3</f>
        <v>10.037500000000001</v>
      </c>
      <c r="G3" s="1268">
        <f>'Simulac. Factura Indiv. Sen CE'!$B$3*(365/12)*'Datos Custos Factura Eléctrica'!$B$3</f>
        <v>10.037500000000001</v>
      </c>
      <c r="H3" s="1268">
        <f>'Simulac. Factura Indiv. Sen CE'!$B$3*(365/12)*'Datos Custos Factura Eléctrica'!$B$3</f>
        <v>10.037500000000001</v>
      </c>
      <c r="I3" s="1268">
        <f>'Simulac. Factura Indiv. Sen CE'!$B$3*(365/12)*'Datos Custos Factura Eléctrica'!$B$3</f>
        <v>10.037500000000001</v>
      </c>
      <c r="J3" s="1268">
        <f>'Simulac. Factura Indiv. Sen CE'!$B$3*(365/12)*'Datos Custos Factura Eléctrica'!$B$3</f>
        <v>10.037500000000001</v>
      </c>
      <c r="K3" s="1268">
        <f>'Simulac. Factura Indiv. Sen CE'!$B$3*(365/12)*'Datos Custos Factura Eléctrica'!$B$3</f>
        <v>10.037500000000001</v>
      </c>
      <c r="L3" s="1268">
        <f>'Simulac. Factura Indiv. Sen CE'!$B$3*(365/12)*'Datos Custos Factura Eléctrica'!$B$3</f>
        <v>10.037500000000001</v>
      </c>
      <c r="M3" s="1268">
        <f>'Simulac. Factura Indiv. Sen CE'!$B$3*(365/12)*'Datos Custos Factura Eléctrica'!$B$3</f>
        <v>10.037500000000001</v>
      </c>
      <c r="N3" s="1268">
        <f>'Simulac. Factura Indiv. Sen CE'!$B$3*(365/12)*'Datos Custos Factura Eléctrica'!$B$3</f>
        <v>10.037500000000001</v>
      </c>
      <c r="O3" s="1268">
        <f>'Simulac. Factura Indiv. Sen CE'!$B$3*(365/12)*'Datos Custos Factura Eléctrica'!$B$3</f>
        <v>10.037500000000001</v>
      </c>
      <c r="P3" s="1268">
        <f>'Simulac. Factura Indiv. Sen CE'!$B$3*(365/12)*'Datos Custos Factura Eléctrica'!$B$3</f>
        <v>10.037500000000001</v>
      </c>
      <c r="Q3" s="1268">
        <f>'Simulac. Factura Indiv. Sen CE'!$B$3*(365/12)*'Datos Custos Factura Eléctrica'!$B$3</f>
        <v>10.037500000000001</v>
      </c>
      <c r="R3" s="1268">
        <f>'Simulac. Factura Indiv. Sen CE'!$B$3*(365/12)*'Datos Custos Factura Eléctrica'!$B$3</f>
        <v>10.037500000000001</v>
      </c>
      <c r="S3" s="1268">
        <f>'Simulac. Factura Indiv. Sen CE'!$B$3*(365/12)*'Datos Custos Factura Eléctrica'!$B$3</f>
        <v>10.037500000000001</v>
      </c>
      <c r="T3" s="1268">
        <f>'Simulac. Factura Indiv. Sen CE'!$B$3*(365/12)*'Datos Custos Factura Eléctrica'!$B$3</f>
        <v>10.037500000000001</v>
      </c>
      <c r="U3" s="1268">
        <f>'Simulac. Factura Indiv. Sen CE'!$B$3*(365/12)*'Datos Custos Factura Eléctrica'!$B$3</f>
        <v>10.037500000000001</v>
      </c>
      <c r="V3" s="1268">
        <f>'Simulac. Factura Indiv. Sen CE'!$B$3*(365/12)*'Datos Custos Factura Eléctrica'!$B$3</f>
        <v>10.037500000000001</v>
      </c>
      <c r="W3" s="1268">
        <f>'Simulac. Factura Indiv. Sen CE'!$B$3*(365/12)*'Datos Custos Factura Eléctrica'!$B$3</f>
        <v>10.037500000000001</v>
      </c>
      <c r="X3" s="1268">
        <f>'Simulac. Factura Indiv. Sen CE'!$B$3*(365/12)*'Datos Custos Factura Eléctrica'!$B$3</f>
        <v>10.037500000000001</v>
      </c>
      <c r="Y3" s="1268">
        <f>'Simulac. Factura Indiv. Sen CE'!$B$3*(365/12)*'Datos Custos Factura Eléctrica'!$B$3</f>
        <v>10.037500000000001</v>
      </c>
      <c r="Z3" s="1268">
        <f>'Simulac. Factura Indiv. Sen CE'!$B$3*(365/12)*'Datos Custos Factura Eléctrica'!$B$3</f>
        <v>10.037500000000001</v>
      </c>
      <c r="AA3" s="150">
        <f>SUM(B3:Z3)</f>
        <v>250.93749999999991</v>
      </c>
    </row>
    <row r="4" spans="1:27" x14ac:dyDescent="0.35">
      <c r="A4" s="394" t="s">
        <v>574</v>
      </c>
      <c r="B4" s="1268">
        <f>'Simulac. Factura Indiv. Sen CE'!$B$3*(365/12)*'Datos Custos Factura Eléctrica'!$B4</f>
        <v>3.01125</v>
      </c>
      <c r="C4" s="1268">
        <f>'Simulac. Factura Indiv. Sen CE'!$B$3*(365/12)*'Datos Custos Factura Eléctrica'!$B4</f>
        <v>3.01125</v>
      </c>
      <c r="D4" s="1268">
        <f>'Simulac. Factura Indiv. Sen CE'!$B$3*(365/12)*'Datos Custos Factura Eléctrica'!$B4</f>
        <v>3.01125</v>
      </c>
      <c r="E4" s="1268">
        <f>'Simulac. Factura Indiv. Sen CE'!$B$3*(365/12)*'Datos Custos Factura Eléctrica'!$B4</f>
        <v>3.01125</v>
      </c>
      <c r="F4" s="1268">
        <f>'Simulac. Factura Indiv. Sen CE'!$B$3*(365/12)*'Datos Custos Factura Eléctrica'!$B4</f>
        <v>3.01125</v>
      </c>
      <c r="G4" s="1268">
        <f>'Simulac. Factura Indiv. Sen CE'!$B$3*(365/12)*'Datos Custos Factura Eléctrica'!$B4</f>
        <v>3.01125</v>
      </c>
      <c r="H4" s="1268">
        <f>'Simulac. Factura Indiv. Sen CE'!$B$3*(365/12)*'Datos Custos Factura Eléctrica'!$B4</f>
        <v>3.01125</v>
      </c>
      <c r="I4" s="1268">
        <f>'Simulac. Factura Indiv. Sen CE'!$B$3*(365/12)*'Datos Custos Factura Eléctrica'!$B4</f>
        <v>3.01125</v>
      </c>
      <c r="J4" s="1268">
        <f>'Simulac. Factura Indiv. Sen CE'!$B$3*(365/12)*'Datos Custos Factura Eléctrica'!$B4</f>
        <v>3.01125</v>
      </c>
      <c r="K4" s="1268">
        <f>'Simulac. Factura Indiv. Sen CE'!$B$3*(365/12)*'Datos Custos Factura Eléctrica'!$B4</f>
        <v>3.01125</v>
      </c>
      <c r="L4" s="1268">
        <f>'Simulac. Factura Indiv. Sen CE'!$B$3*(365/12)*'Datos Custos Factura Eléctrica'!$B4</f>
        <v>3.01125</v>
      </c>
      <c r="M4" s="1268">
        <f>'Simulac. Factura Indiv. Sen CE'!$B$3*(365/12)*'Datos Custos Factura Eléctrica'!$B4</f>
        <v>3.01125</v>
      </c>
      <c r="N4" s="1268">
        <f>'Simulac. Factura Indiv. Sen CE'!$B$3*(365/12)*'Datos Custos Factura Eléctrica'!$B4</f>
        <v>3.01125</v>
      </c>
      <c r="O4" s="1268">
        <f>'Simulac. Factura Indiv. Sen CE'!$B$3*(365/12)*'Datos Custos Factura Eléctrica'!$B4</f>
        <v>3.01125</v>
      </c>
      <c r="P4" s="1268">
        <f>'Simulac. Factura Indiv. Sen CE'!$B$3*(365/12)*'Datos Custos Factura Eléctrica'!$B4</f>
        <v>3.01125</v>
      </c>
      <c r="Q4" s="1268">
        <f>'Simulac. Factura Indiv. Sen CE'!$B$3*(365/12)*'Datos Custos Factura Eléctrica'!$B4</f>
        <v>3.01125</v>
      </c>
      <c r="R4" s="1268">
        <f>'Simulac. Factura Indiv. Sen CE'!$B$3*(365/12)*'Datos Custos Factura Eléctrica'!$B4</f>
        <v>3.01125</v>
      </c>
      <c r="S4" s="1268">
        <f>'Simulac. Factura Indiv. Sen CE'!$B$3*(365/12)*'Datos Custos Factura Eléctrica'!$B4</f>
        <v>3.01125</v>
      </c>
      <c r="T4" s="1268">
        <f>'Simulac. Factura Indiv. Sen CE'!$B$3*(365/12)*'Datos Custos Factura Eléctrica'!$B4</f>
        <v>3.01125</v>
      </c>
      <c r="U4" s="1268">
        <f>'Simulac. Factura Indiv. Sen CE'!$B$3*(365/12)*'Datos Custos Factura Eléctrica'!$B4</f>
        <v>3.01125</v>
      </c>
      <c r="V4" s="1268">
        <f>'Simulac. Factura Indiv. Sen CE'!$B$3*(365/12)*'Datos Custos Factura Eléctrica'!$B4</f>
        <v>3.01125</v>
      </c>
      <c r="W4" s="1268">
        <f>'Simulac. Factura Indiv. Sen CE'!$B$3*(365/12)*'Datos Custos Factura Eléctrica'!$B4</f>
        <v>3.01125</v>
      </c>
      <c r="X4" s="1268">
        <f>'Simulac. Factura Indiv. Sen CE'!$B$3*(365/12)*'Datos Custos Factura Eléctrica'!$B4</f>
        <v>3.01125</v>
      </c>
      <c r="Y4" s="1268">
        <f>'Simulac. Factura Indiv. Sen CE'!$B$3*(365/12)*'Datos Custos Factura Eléctrica'!$B4</f>
        <v>3.01125</v>
      </c>
      <c r="Z4" s="1268">
        <f>'Simulac. Factura Indiv. Sen CE'!$B$3*(365/12)*'Datos Custos Factura Eléctrica'!$B4</f>
        <v>3.01125</v>
      </c>
      <c r="AA4" s="150">
        <f>SUM(B4:Z4)</f>
        <v>75.281249999999986</v>
      </c>
    </row>
    <row r="5" spans="1:27" x14ac:dyDescent="0.35">
      <c r="A5" s="1325" t="s">
        <v>1099</v>
      </c>
      <c r="B5" s="1324">
        <f ca="1">B58*'Datos Custos Factura Eléctrica'!$B$5</f>
        <v>7.8000000000000007</v>
      </c>
      <c r="C5" s="1324">
        <f ca="1">C58*'Datos Custos Factura Eléctrica'!$B$5</f>
        <v>6.5</v>
      </c>
      <c r="D5" s="1324">
        <f ca="1">D58*'Datos Custos Factura Eléctrica'!$B$5</f>
        <v>21.700000000000003</v>
      </c>
      <c r="E5" s="1324">
        <f ca="1">E58*'Datos Custos Factura Eléctrica'!$B$5</f>
        <v>16.7</v>
      </c>
      <c r="F5" s="1324">
        <f ca="1">F58*'Datos Custos Factura Eléctrica'!$B$5</f>
        <v>12.3</v>
      </c>
      <c r="G5" s="1324">
        <f ca="1">G58*'Datos Custos Factura Eléctrica'!$B$5</f>
        <v>25.900000000000002</v>
      </c>
      <c r="H5" s="1324">
        <f ca="1">H58*'Datos Custos Factura Eléctrica'!$B$5</f>
        <v>11.600000000000001</v>
      </c>
      <c r="I5" s="1324">
        <f ca="1">I58*'Datos Custos Factura Eléctrica'!$B$5</f>
        <v>10.350000000000001</v>
      </c>
      <c r="J5" s="1324">
        <f ca="1">J58*'Datos Custos Factura Eléctrica'!$B$5</f>
        <v>6.95</v>
      </c>
      <c r="K5" s="1324">
        <f ca="1">K58*'Datos Custos Factura Eléctrica'!$B$5</f>
        <v>14.8</v>
      </c>
      <c r="L5" s="1324">
        <f ca="1">L58*'Datos Custos Factura Eléctrica'!$B$5</f>
        <v>6</v>
      </c>
      <c r="M5" s="1324">
        <f ca="1">M58*'Datos Custos Factura Eléctrica'!$B$5</f>
        <v>14.05</v>
      </c>
      <c r="N5" s="1324">
        <f ca="1">N58*'Datos Custos Factura Eléctrica'!$B$5</f>
        <v>3.95</v>
      </c>
      <c r="O5" s="1324">
        <f ca="1">O58*'Datos Custos Factura Eléctrica'!$B$5</f>
        <v>9.75</v>
      </c>
      <c r="P5" s="1324">
        <f ca="1">P58*'Datos Custos Factura Eléctrica'!$B$5</f>
        <v>14.850000000000001</v>
      </c>
      <c r="Q5" s="1324">
        <f ca="1">Q58*'Datos Custos Factura Eléctrica'!$B$5</f>
        <v>26.25</v>
      </c>
      <c r="R5" s="1324">
        <f ca="1">R58*'Datos Custos Factura Eléctrica'!$B$5</f>
        <v>24.25</v>
      </c>
      <c r="S5" s="1324">
        <f ca="1">S58*'Datos Custos Factura Eléctrica'!$B$5</f>
        <v>16.55</v>
      </c>
      <c r="T5" s="1324">
        <f ca="1">T58*'Datos Custos Factura Eléctrica'!$B$5</f>
        <v>7.1000000000000005</v>
      </c>
      <c r="U5" s="1324">
        <f ca="1">U58*'Datos Custos Factura Eléctrica'!$B$5</f>
        <v>15.75</v>
      </c>
      <c r="V5" s="1324">
        <f ca="1">V58*'Datos Custos Factura Eléctrica'!$B$5</f>
        <v>9</v>
      </c>
      <c r="W5" s="1324">
        <f ca="1">W58*'Datos Custos Factura Eléctrica'!$B$5</f>
        <v>7.45</v>
      </c>
      <c r="X5" s="1324">
        <f ca="1">X58*'Datos Custos Factura Eléctrica'!$B$5</f>
        <v>16.100000000000001</v>
      </c>
      <c r="Y5" s="1324">
        <f ca="1">Y58*'Datos Custos Factura Eléctrica'!$B$5</f>
        <v>14.75</v>
      </c>
      <c r="Z5" s="1324">
        <f ca="1">Z58*'Datos Custos Factura Eléctrica'!$B$5</f>
        <v>3.95</v>
      </c>
      <c r="AA5" s="1323">
        <f ca="1">SUM(B5:Z5)</f>
        <v>324.35000000000002</v>
      </c>
    </row>
    <row r="6" spans="1:27" ht="15" thickBot="1" x14ac:dyDescent="0.4">
      <c r="A6" s="394" t="s">
        <v>577</v>
      </c>
      <c r="B6" s="1268">
        <f>'Datos Custos Factura Eléctrica'!$B$6*(365/12)</f>
        <v>1.1696729166666668</v>
      </c>
      <c r="C6" s="1268">
        <f>'Datos Custos Factura Eléctrica'!$B$6*(365/12)</f>
        <v>1.1696729166666668</v>
      </c>
      <c r="D6" s="1268">
        <f>'Datos Custos Factura Eléctrica'!$B$6*(365/12)</f>
        <v>1.1696729166666668</v>
      </c>
      <c r="E6" s="1268">
        <f>'Datos Custos Factura Eléctrica'!$B$6*(365/12)</f>
        <v>1.1696729166666668</v>
      </c>
      <c r="F6" s="1268">
        <f>'Datos Custos Factura Eléctrica'!$B$6*(365/12)</f>
        <v>1.1696729166666668</v>
      </c>
      <c r="G6" s="1268">
        <f>'Datos Custos Factura Eléctrica'!$B$6*(365/12)</f>
        <v>1.1696729166666668</v>
      </c>
      <c r="H6" s="1268">
        <f>'Datos Custos Factura Eléctrica'!$B$6*(365/12)</f>
        <v>1.1696729166666668</v>
      </c>
      <c r="I6" s="1268">
        <f>'Datos Custos Factura Eléctrica'!$B$6*(365/12)</f>
        <v>1.1696729166666668</v>
      </c>
      <c r="J6" s="1268">
        <f>'Datos Custos Factura Eléctrica'!$B$6*(365/12)</f>
        <v>1.1696729166666668</v>
      </c>
      <c r="K6" s="1268">
        <f>'Datos Custos Factura Eléctrica'!$B$6*(365/12)</f>
        <v>1.1696729166666668</v>
      </c>
      <c r="L6" s="1268">
        <f>'Datos Custos Factura Eléctrica'!$B$6*(365/12)</f>
        <v>1.1696729166666668</v>
      </c>
      <c r="M6" s="1268">
        <f>'Datos Custos Factura Eléctrica'!$B$6*(365/12)</f>
        <v>1.1696729166666668</v>
      </c>
      <c r="N6" s="1268">
        <f>'Datos Custos Factura Eléctrica'!$B$6*(365/12)</f>
        <v>1.1696729166666668</v>
      </c>
      <c r="O6" s="1268">
        <f>'Datos Custos Factura Eléctrica'!$B$6*(365/12)</f>
        <v>1.1696729166666668</v>
      </c>
      <c r="P6" s="1268">
        <f>'Datos Custos Factura Eléctrica'!$B$6*(365/12)</f>
        <v>1.1696729166666668</v>
      </c>
      <c r="Q6" s="1268">
        <f>'Datos Custos Factura Eléctrica'!$B$6*(365/12)</f>
        <v>1.1696729166666668</v>
      </c>
      <c r="R6" s="1268">
        <f>'Datos Custos Factura Eléctrica'!$B$6*(365/12)</f>
        <v>1.1696729166666668</v>
      </c>
      <c r="S6" s="1268">
        <f>'Datos Custos Factura Eléctrica'!$B$6*(365/12)</f>
        <v>1.1696729166666668</v>
      </c>
      <c r="T6" s="1268">
        <f>'Datos Custos Factura Eléctrica'!$B$6*(365/12)</f>
        <v>1.1696729166666668</v>
      </c>
      <c r="U6" s="1268">
        <f>'Datos Custos Factura Eléctrica'!$B$6*(365/12)</f>
        <v>1.1696729166666668</v>
      </c>
      <c r="V6" s="1268">
        <f>'Datos Custos Factura Eléctrica'!$B$6*(365/12)</f>
        <v>1.1696729166666668</v>
      </c>
      <c r="W6" s="1268">
        <f>'Datos Custos Factura Eléctrica'!$B$6*(365/12)</f>
        <v>1.1696729166666668</v>
      </c>
      <c r="X6" s="1268">
        <f>'Datos Custos Factura Eléctrica'!$B$6*(365/12)</f>
        <v>1.1696729166666668</v>
      </c>
      <c r="Y6" s="1268">
        <f>'Datos Custos Factura Eléctrica'!$B$6*(365/12)</f>
        <v>1.1696729166666668</v>
      </c>
      <c r="Z6" s="1268">
        <f>'Datos Custos Factura Eléctrica'!$B$6*(365/12)</f>
        <v>1.1696729166666668</v>
      </c>
      <c r="AA6" s="150">
        <f>SUM(B6:Z6)</f>
        <v>29.241822916666663</v>
      </c>
    </row>
    <row r="7" spans="1:27" ht="15" thickBot="1" x14ac:dyDescent="0.4">
      <c r="A7" s="1267" t="s">
        <v>1104</v>
      </c>
      <c r="B7" s="1266">
        <f t="shared" ref="B7:Z7" ca="1" si="0">SUM(B3:B6)</f>
        <v>22.018422916666669</v>
      </c>
      <c r="C7" s="1266">
        <f t="shared" ca="1" si="0"/>
        <v>20.718422916666668</v>
      </c>
      <c r="D7" s="1266">
        <f t="shared" ca="1" si="0"/>
        <v>35.918422916666671</v>
      </c>
      <c r="E7" s="1266">
        <f t="shared" ca="1" si="0"/>
        <v>30.918422916666668</v>
      </c>
      <c r="F7" s="1266">
        <f t="shared" ca="1" si="0"/>
        <v>26.518422916666669</v>
      </c>
      <c r="G7" s="1266">
        <f t="shared" ca="1" si="0"/>
        <v>40.118422916666674</v>
      </c>
      <c r="H7" s="1266">
        <f t="shared" ca="1" si="0"/>
        <v>25.81842291666667</v>
      </c>
      <c r="I7" s="1266">
        <f t="shared" ca="1" si="0"/>
        <v>24.56842291666667</v>
      </c>
      <c r="J7" s="1266">
        <f t="shared" ca="1" si="0"/>
        <v>21.168422916666668</v>
      </c>
      <c r="K7" s="1266">
        <f t="shared" ca="1" si="0"/>
        <v>29.018422916666669</v>
      </c>
      <c r="L7" s="1266">
        <f t="shared" ca="1" si="0"/>
        <v>20.218422916666668</v>
      </c>
      <c r="M7" s="1266">
        <f t="shared" ca="1" si="0"/>
        <v>28.268422916666669</v>
      </c>
      <c r="N7" s="1266">
        <f t="shared" ca="1" si="0"/>
        <v>18.168422916666668</v>
      </c>
      <c r="O7" s="1266">
        <f t="shared" ca="1" si="0"/>
        <v>23.968422916666668</v>
      </c>
      <c r="P7" s="1266">
        <f t="shared" ca="1" si="0"/>
        <v>29.06842291666667</v>
      </c>
      <c r="Q7" s="1266">
        <f t="shared" ca="1" si="0"/>
        <v>40.468422916666668</v>
      </c>
      <c r="R7" s="1266">
        <f t="shared" ca="1" si="0"/>
        <v>38.468422916666668</v>
      </c>
      <c r="S7" s="1266">
        <f t="shared" ca="1" si="0"/>
        <v>30.768422916666669</v>
      </c>
      <c r="T7" s="1266">
        <f t="shared" ca="1" si="0"/>
        <v>21.31842291666667</v>
      </c>
      <c r="U7" s="1266">
        <f t="shared" ca="1" si="0"/>
        <v>29.968422916666668</v>
      </c>
      <c r="V7" s="1266">
        <f t="shared" ca="1" si="0"/>
        <v>23.218422916666668</v>
      </c>
      <c r="W7" s="1266">
        <f t="shared" ca="1" si="0"/>
        <v>21.668422916666668</v>
      </c>
      <c r="X7" s="1266">
        <f t="shared" ca="1" si="0"/>
        <v>30.31842291666667</v>
      </c>
      <c r="Y7" s="1265">
        <f t="shared" ca="1" si="0"/>
        <v>28.968422916666668</v>
      </c>
      <c r="Z7" s="1264">
        <f t="shared" ca="1" si="0"/>
        <v>18.168422916666668</v>
      </c>
      <c r="AA7" s="1264">
        <f ca="1">SUM(B7:Z7)</f>
        <v>679.81057291666684</v>
      </c>
    </row>
    <row r="8" spans="1:27" x14ac:dyDescent="0.35">
      <c r="A8" s="394"/>
      <c r="B8" s="371"/>
      <c r="C8" s="38"/>
    </row>
    <row r="9" spans="1:27" x14ac:dyDescent="0.35">
      <c r="A9" s="394" t="s">
        <v>582</v>
      </c>
      <c r="B9" s="1263">
        <f ca="1">B7*'Simulac. Factura Indiv. Sen CE'!$C$8</f>
        <v>0.11009211458333334</v>
      </c>
      <c r="C9" s="1263">
        <f ca="1">C7*'Simulac. Factura Indiv. Sen CE'!$C$8</f>
        <v>0.10359211458333334</v>
      </c>
      <c r="D9" s="1263">
        <f ca="1">D7*'Simulac. Factura Indiv. Sen CE'!$C$8</f>
        <v>0.17959211458333335</v>
      </c>
      <c r="E9" s="1263">
        <f ca="1">E7*'Simulac. Factura Indiv. Sen CE'!$C$8</f>
        <v>0.15459211458333333</v>
      </c>
      <c r="F9" s="1263">
        <f ca="1">F7*'Simulac. Factura Indiv. Sen CE'!$C$8</f>
        <v>0.13259211458333334</v>
      </c>
      <c r="G9" s="1263">
        <f ca="1">G7*'Simulac. Factura Indiv. Sen CE'!$C$8</f>
        <v>0.20059211458333337</v>
      </c>
      <c r="H9" s="1263">
        <f ca="1">H7*'Simulac. Factura Indiv. Sen CE'!$C$8</f>
        <v>0.12909211458333336</v>
      </c>
      <c r="I9" s="1263">
        <f ca="1">I7*'Simulac. Factura Indiv. Sen CE'!$C$8</f>
        <v>0.12284211458333336</v>
      </c>
      <c r="J9" s="1263">
        <f ca="1">J7*'Simulac. Factura Indiv. Sen CE'!$C$8</f>
        <v>0.10584211458333334</v>
      </c>
      <c r="K9" s="1263">
        <f ca="1">K7*'Simulac. Factura Indiv. Sen CE'!$C$8</f>
        <v>0.14509211458333335</v>
      </c>
      <c r="L9" s="1263">
        <f ca="1">L7*'Simulac. Factura Indiv. Sen CE'!$C$8</f>
        <v>0.10109211458333334</v>
      </c>
      <c r="M9" s="1263">
        <f ca="1">M7*'Simulac. Factura Indiv. Sen CE'!$C$8</f>
        <v>0.14134211458333334</v>
      </c>
      <c r="N9" s="1263">
        <f ca="1">N7*'Simulac. Factura Indiv. Sen CE'!$C$8</f>
        <v>9.0842114583333342E-2</v>
      </c>
      <c r="O9" s="1263">
        <f ca="1">O7*'Simulac. Factura Indiv. Sen CE'!$C$8</f>
        <v>0.11984211458333334</v>
      </c>
      <c r="P9" s="1263">
        <f ca="1">P7*'Simulac. Factura Indiv. Sen CE'!$C$8</f>
        <v>0.14534211458333335</v>
      </c>
      <c r="Q9" s="1263">
        <f ca="1">Q7*'Simulac. Factura Indiv. Sen CE'!$C$8</f>
        <v>0.20234211458333334</v>
      </c>
      <c r="R9" s="1263">
        <f ca="1">R7*'Simulac. Factura Indiv. Sen CE'!$C$8</f>
        <v>0.19234211458333333</v>
      </c>
      <c r="S9" s="1263">
        <f ca="1">S7*'Simulac. Factura Indiv. Sen CE'!$C$8</f>
        <v>0.15384211458333336</v>
      </c>
      <c r="T9" s="1263">
        <f ca="1">T7*'Simulac. Factura Indiv. Sen CE'!$C$8</f>
        <v>0.10659211458333336</v>
      </c>
      <c r="U9" s="1263">
        <f ca="1">U7*'Simulac. Factura Indiv. Sen CE'!$C$8</f>
        <v>0.14984211458333335</v>
      </c>
      <c r="V9" s="1263">
        <f ca="1">V7*'Simulac. Factura Indiv. Sen CE'!$C$8</f>
        <v>0.11609211458333335</v>
      </c>
      <c r="W9" s="1263">
        <f ca="1">W7*'Simulac. Factura Indiv. Sen CE'!$C$8</f>
        <v>0.10834211458333334</v>
      </c>
      <c r="X9" s="1263">
        <f ca="1">X7*'Simulac. Factura Indiv. Sen CE'!$C$8</f>
        <v>0.15159211458333335</v>
      </c>
      <c r="Y9" s="1263">
        <f ca="1">Y7*'Simulac. Factura Indiv. Sen CE'!$C$8</f>
        <v>0.14484211458333335</v>
      </c>
      <c r="Z9" s="1263">
        <f ca="1">Z7*'Simulac. Factura Indiv. Sen CE'!$C$8</f>
        <v>9.0842114583333342E-2</v>
      </c>
      <c r="AA9" s="150">
        <f ca="1">SUM(B9:Z9)</f>
        <v>3.399052864583334</v>
      </c>
    </row>
    <row r="10" spans="1:27" x14ac:dyDescent="0.35">
      <c r="A10" s="394"/>
      <c r="B10" s="371"/>
      <c r="C10" s="38"/>
    </row>
    <row r="11" spans="1:27" x14ac:dyDescent="0.35">
      <c r="A11" s="394" t="s">
        <v>585</v>
      </c>
      <c r="B11" s="1268">
        <f>'Datos Custos Factura Eléctrica'!$B$11*(365/12)</f>
        <v>0.81474083333333336</v>
      </c>
      <c r="C11" s="1268">
        <f>'Datos Custos Factura Eléctrica'!$B$11*(365/12)</f>
        <v>0.81474083333333336</v>
      </c>
      <c r="D11" s="1268">
        <f>'Datos Custos Factura Eléctrica'!$B$11*(365/12)</f>
        <v>0.81474083333333336</v>
      </c>
      <c r="E11" s="1268">
        <f>'Datos Custos Factura Eléctrica'!$B$11*(365/12)</f>
        <v>0.81474083333333336</v>
      </c>
      <c r="F11" s="1268">
        <f>'Datos Custos Factura Eléctrica'!$B$11*(365/12)</f>
        <v>0.81474083333333336</v>
      </c>
      <c r="G11" s="1268">
        <f>'Datos Custos Factura Eléctrica'!$B$11*(365/12)</f>
        <v>0.81474083333333336</v>
      </c>
      <c r="H11" s="1268">
        <f>'Datos Custos Factura Eléctrica'!$B$11*(365/12)</f>
        <v>0.81474083333333336</v>
      </c>
      <c r="I11" s="1268">
        <f>'Datos Custos Factura Eléctrica'!$B$11*(365/12)</f>
        <v>0.81474083333333336</v>
      </c>
      <c r="J11" s="1268">
        <f>'Datos Custos Factura Eléctrica'!$B$11*(365/12)</f>
        <v>0.81474083333333336</v>
      </c>
      <c r="K11" s="1268">
        <f>'Datos Custos Factura Eléctrica'!$B$11*(365/12)</f>
        <v>0.81474083333333336</v>
      </c>
      <c r="L11" s="1268">
        <f>'Datos Custos Factura Eléctrica'!$B$11*(365/12)</f>
        <v>0.81474083333333336</v>
      </c>
      <c r="M11" s="1268">
        <f>'Datos Custos Factura Eléctrica'!$B$11*(365/12)</f>
        <v>0.81474083333333336</v>
      </c>
      <c r="N11" s="1268">
        <f>'Datos Custos Factura Eléctrica'!$B$11*(365/12)</f>
        <v>0.81474083333333336</v>
      </c>
      <c r="O11" s="1268">
        <f>'Datos Custos Factura Eléctrica'!$B$11*(365/12)</f>
        <v>0.81474083333333336</v>
      </c>
      <c r="P11" s="1268">
        <f>'Datos Custos Factura Eléctrica'!$B$11*(365/12)</f>
        <v>0.81474083333333336</v>
      </c>
      <c r="Q11" s="1268">
        <f>'Datos Custos Factura Eléctrica'!$B$11*(365/12)</f>
        <v>0.81474083333333336</v>
      </c>
      <c r="R11" s="1268">
        <f>'Datos Custos Factura Eléctrica'!$B$11*(365/12)</f>
        <v>0.81474083333333336</v>
      </c>
      <c r="S11" s="1268">
        <f>'Datos Custos Factura Eléctrica'!$B$11*(365/12)</f>
        <v>0.81474083333333336</v>
      </c>
      <c r="T11" s="1268">
        <f>'Datos Custos Factura Eléctrica'!$B$11*(365/12)</f>
        <v>0.81474083333333336</v>
      </c>
      <c r="U11" s="1268">
        <f>'Datos Custos Factura Eléctrica'!$B$11*(365/12)</f>
        <v>0.81474083333333336</v>
      </c>
      <c r="V11" s="1268">
        <f>'Datos Custos Factura Eléctrica'!$B$11*(365/12)</f>
        <v>0.81474083333333336</v>
      </c>
      <c r="W11" s="1268">
        <f>'Datos Custos Factura Eléctrica'!$B$11*(365/12)</f>
        <v>0.81474083333333336</v>
      </c>
      <c r="X11" s="1268">
        <f>'Datos Custos Factura Eléctrica'!$B$11*(365/12)</f>
        <v>0.81474083333333336</v>
      </c>
      <c r="Y11" s="1268">
        <f>'Datos Custos Factura Eléctrica'!$B$11*(365/12)</f>
        <v>0.81474083333333336</v>
      </c>
      <c r="Z11" s="1268">
        <f>'Datos Custos Factura Eléctrica'!$B$11*(365/12)</f>
        <v>0.81474083333333336</v>
      </c>
      <c r="AA11" s="150">
        <f>SUM(B11:Z11)</f>
        <v>20.368520833333324</v>
      </c>
    </row>
    <row r="12" spans="1:27" ht="15" thickBot="1" x14ac:dyDescent="0.4">
      <c r="A12" s="394"/>
      <c r="B12" s="371"/>
      <c r="C12" s="38"/>
    </row>
    <row r="13" spans="1:27" ht="15" thickBot="1" x14ac:dyDescent="0.4">
      <c r="A13" s="1267" t="s">
        <v>1103</v>
      </c>
      <c r="B13" s="1266">
        <f t="shared" ref="B13:Z13" ca="1" si="1">B7+B9+B11</f>
        <v>22.943255864583335</v>
      </c>
      <c r="C13" s="1266">
        <f t="shared" ca="1" si="1"/>
        <v>21.636755864583332</v>
      </c>
      <c r="D13" s="1266">
        <f t="shared" ca="1" si="1"/>
        <v>36.912755864583339</v>
      </c>
      <c r="E13" s="1266">
        <f t="shared" ca="1" si="1"/>
        <v>31.887755864583333</v>
      </c>
      <c r="F13" s="1266">
        <f t="shared" ca="1" si="1"/>
        <v>27.465755864583333</v>
      </c>
      <c r="G13" s="1266">
        <f t="shared" ca="1" si="1"/>
        <v>41.133755864583335</v>
      </c>
      <c r="H13" s="1266">
        <f t="shared" ca="1" si="1"/>
        <v>26.762255864583334</v>
      </c>
      <c r="I13" s="1266">
        <f t="shared" ca="1" si="1"/>
        <v>25.506005864583333</v>
      </c>
      <c r="J13" s="1266">
        <f t="shared" ca="1" si="1"/>
        <v>22.089005864583331</v>
      </c>
      <c r="K13" s="1266">
        <f t="shared" ca="1" si="1"/>
        <v>29.978255864583335</v>
      </c>
      <c r="L13" s="1266">
        <f t="shared" ca="1" si="1"/>
        <v>21.134255864583334</v>
      </c>
      <c r="M13" s="1266">
        <f t="shared" ca="1" si="1"/>
        <v>29.224505864583335</v>
      </c>
      <c r="N13" s="1266">
        <f t="shared" ca="1" si="1"/>
        <v>19.074005864583331</v>
      </c>
      <c r="O13" s="1266">
        <f t="shared" ca="1" si="1"/>
        <v>24.903005864583335</v>
      </c>
      <c r="P13" s="1266">
        <f t="shared" ca="1" si="1"/>
        <v>30.028505864583334</v>
      </c>
      <c r="Q13" s="1266">
        <f t="shared" ca="1" si="1"/>
        <v>41.485505864583331</v>
      </c>
      <c r="R13" s="1266">
        <f t="shared" ca="1" si="1"/>
        <v>39.475505864583333</v>
      </c>
      <c r="S13" s="1266">
        <f t="shared" ca="1" si="1"/>
        <v>31.737005864583335</v>
      </c>
      <c r="T13" s="1266">
        <f t="shared" ca="1" si="1"/>
        <v>22.239755864583334</v>
      </c>
      <c r="U13" s="1266">
        <f t="shared" ca="1" si="1"/>
        <v>30.933005864583333</v>
      </c>
      <c r="V13" s="1266">
        <f t="shared" ca="1" si="1"/>
        <v>24.149255864583335</v>
      </c>
      <c r="W13" s="1266">
        <f t="shared" ca="1" si="1"/>
        <v>22.591505864583333</v>
      </c>
      <c r="X13" s="1266">
        <f t="shared" ca="1" si="1"/>
        <v>31.284755864583335</v>
      </c>
      <c r="Y13" s="1266">
        <f t="shared" ca="1" si="1"/>
        <v>29.928005864583334</v>
      </c>
      <c r="Z13" s="1266">
        <f t="shared" ca="1" si="1"/>
        <v>19.074005864583331</v>
      </c>
      <c r="AA13" s="1264">
        <f ca="1">SUM(B13:Z13)</f>
        <v>703.5781466145836</v>
      </c>
    </row>
    <row r="14" spans="1:27" x14ac:dyDescent="0.35">
      <c r="A14" s="394"/>
      <c r="B14" s="371"/>
      <c r="C14" s="38"/>
    </row>
    <row r="15" spans="1:27" x14ac:dyDescent="0.35">
      <c r="A15" s="394" t="s">
        <v>1102</v>
      </c>
      <c r="B15" s="1263">
        <f ca="1">B13*'Simulac. Factura Indiv. Sen CE'!$C$14</f>
        <v>4.8180837315625</v>
      </c>
      <c r="C15" s="1263">
        <f ca="1">C13*'Simulac. Factura Indiv. Sen CE'!$C$14</f>
        <v>4.5437187315624996</v>
      </c>
      <c r="D15" s="1263">
        <f ca="1">D13*'Simulac. Factura Indiv. Sen CE'!$C$14</f>
        <v>7.7516787315625013</v>
      </c>
      <c r="E15" s="1263">
        <f ca="1">E13*'Simulac. Factura Indiv. Sen CE'!$C$14</f>
        <v>6.6964287315624995</v>
      </c>
      <c r="F15" s="1263">
        <f ca="1">F13*'Simulac. Factura Indiv. Sen CE'!$C$14</f>
        <v>5.7678087315625</v>
      </c>
      <c r="G15" s="1263">
        <f ca="1">G13*'Simulac. Factura Indiv. Sen CE'!$C$14</f>
        <v>8.638088731562501</v>
      </c>
      <c r="H15" s="1263">
        <f ca="1">H13*'Simulac. Factura Indiv. Sen CE'!$C$14</f>
        <v>5.6200737315625</v>
      </c>
      <c r="I15" s="1263">
        <f ca="1">I13*'Simulac. Factura Indiv. Sen CE'!$C$14</f>
        <v>5.3562612315624998</v>
      </c>
      <c r="J15" s="1263">
        <f ca="1">J13*'Simulac. Factura Indiv. Sen CE'!$C$14</f>
        <v>4.6386912315624995</v>
      </c>
      <c r="K15" s="1263">
        <f ca="1">K13*'Simulac. Factura Indiv. Sen CE'!$C$14</f>
        <v>6.2954337315625004</v>
      </c>
      <c r="L15" s="1263">
        <f ca="1">L13*'Simulac. Factura Indiv. Sen CE'!$C$14</f>
        <v>4.4381937315625004</v>
      </c>
      <c r="M15" s="1263">
        <f ca="1">M13*'Simulac. Factura Indiv. Sen CE'!$C$14</f>
        <v>6.1371462315625003</v>
      </c>
      <c r="N15" s="1263">
        <f ca="1">N13*'Simulac. Factura Indiv. Sen CE'!$C$14</f>
        <v>4.005541231562499</v>
      </c>
      <c r="O15" s="1263">
        <f ca="1">O13*'Simulac. Factura Indiv. Sen CE'!$C$14</f>
        <v>5.2296312315625002</v>
      </c>
      <c r="P15" s="1263">
        <f ca="1">P13*'Simulac. Factura Indiv. Sen CE'!$C$14</f>
        <v>6.3059862315624997</v>
      </c>
      <c r="Q15" s="1263">
        <f ca="1">Q13*'Simulac. Factura Indiv. Sen CE'!$C$14</f>
        <v>8.7119562315624997</v>
      </c>
      <c r="R15" s="1263">
        <f ca="1">R13*'Simulac. Factura Indiv. Sen CE'!$C$14</f>
        <v>8.2898562315624993</v>
      </c>
      <c r="S15" s="1263">
        <f ca="1">S13*'Simulac. Factura Indiv. Sen CE'!$C$14</f>
        <v>6.6647712315624998</v>
      </c>
      <c r="T15" s="1263">
        <f ca="1">T13*'Simulac. Factura Indiv. Sen CE'!$C$14</f>
        <v>4.6703487315625001</v>
      </c>
      <c r="U15" s="1263">
        <f ca="1">U13*'Simulac. Factura Indiv. Sen CE'!$C$14</f>
        <v>6.4959312315624995</v>
      </c>
      <c r="V15" s="1263">
        <f ca="1">V13*'Simulac. Factura Indiv. Sen CE'!$C$14</f>
        <v>5.0713437315625001</v>
      </c>
      <c r="W15" s="1263">
        <f ca="1">W13*'Simulac. Factura Indiv. Sen CE'!$C$14</f>
        <v>4.7442162315624996</v>
      </c>
      <c r="X15" s="1263">
        <f ca="1">X13*'Simulac. Factura Indiv. Sen CE'!$C$14</f>
        <v>6.5697987315624999</v>
      </c>
      <c r="Y15" s="1263">
        <f ca="1">Y13*'Simulac. Factura Indiv. Sen CE'!$C$14</f>
        <v>6.2848812315625002</v>
      </c>
      <c r="Z15" s="1263">
        <f ca="1">Z13*'Simulac. Factura Indiv. Sen CE'!$C$14</f>
        <v>4.005541231562499</v>
      </c>
      <c r="AA15" s="150">
        <f ca="1">SUM(B15:Z15)</f>
        <v>147.75141078906248</v>
      </c>
    </row>
    <row r="16" spans="1:27" ht="15" thickBot="1" x14ac:dyDescent="0.4">
      <c r="A16" s="394"/>
      <c r="B16" s="371"/>
      <c r="C16" s="38"/>
    </row>
    <row r="17" spans="1:27" ht="15" thickBot="1" x14ac:dyDescent="0.4">
      <c r="A17" s="1262" t="s">
        <v>1101</v>
      </c>
      <c r="B17" s="1261">
        <f t="shared" ref="B17:Z17" ca="1" si="2">B13+B15</f>
        <v>27.761339596145834</v>
      </c>
      <c r="C17" s="1261">
        <f t="shared" ca="1" si="2"/>
        <v>26.180474596145832</v>
      </c>
      <c r="D17" s="1261">
        <f t="shared" ca="1" si="2"/>
        <v>44.664434596145838</v>
      </c>
      <c r="E17" s="1261">
        <f t="shared" ca="1" si="2"/>
        <v>38.584184596145832</v>
      </c>
      <c r="F17" s="1261">
        <f t="shared" ca="1" si="2"/>
        <v>33.233564596145833</v>
      </c>
      <c r="G17" s="1261">
        <f t="shared" ca="1" si="2"/>
        <v>49.77184459614584</v>
      </c>
      <c r="H17" s="1261">
        <f t="shared" ca="1" si="2"/>
        <v>32.382329596145837</v>
      </c>
      <c r="I17" s="1261">
        <f t="shared" ca="1" si="2"/>
        <v>30.862267096145832</v>
      </c>
      <c r="J17" s="1261">
        <f t="shared" ca="1" si="2"/>
        <v>26.727697096145832</v>
      </c>
      <c r="K17" s="1261">
        <f t="shared" ca="1" si="2"/>
        <v>36.273689596145836</v>
      </c>
      <c r="L17" s="1261">
        <f t="shared" ca="1" si="2"/>
        <v>25.572449596145834</v>
      </c>
      <c r="M17" s="1261">
        <f t="shared" ca="1" si="2"/>
        <v>35.361652096145832</v>
      </c>
      <c r="N17" s="1261">
        <f t="shared" ca="1" si="2"/>
        <v>23.079547096145831</v>
      </c>
      <c r="O17" s="1261">
        <f t="shared" ca="1" si="2"/>
        <v>30.132637096145835</v>
      </c>
      <c r="P17" s="1261">
        <f t="shared" ca="1" si="2"/>
        <v>36.334492096145837</v>
      </c>
      <c r="Q17" s="1261">
        <f t="shared" ca="1" si="2"/>
        <v>50.197462096145827</v>
      </c>
      <c r="R17" s="1261">
        <f t="shared" ca="1" si="2"/>
        <v>47.765362096145836</v>
      </c>
      <c r="S17" s="1261">
        <f t="shared" ca="1" si="2"/>
        <v>38.401777096145835</v>
      </c>
      <c r="T17" s="1261">
        <f t="shared" ca="1" si="2"/>
        <v>26.910104596145835</v>
      </c>
      <c r="U17" s="1261">
        <f t="shared" ca="1" si="2"/>
        <v>37.42893709614583</v>
      </c>
      <c r="V17" s="1261">
        <f t="shared" ca="1" si="2"/>
        <v>29.220599596145835</v>
      </c>
      <c r="W17" s="1261">
        <f t="shared" ca="1" si="2"/>
        <v>27.335722096145833</v>
      </c>
      <c r="X17" s="1261">
        <f t="shared" ca="1" si="2"/>
        <v>37.854554596145832</v>
      </c>
      <c r="Y17" s="1261">
        <f t="shared" ca="1" si="2"/>
        <v>36.212887096145835</v>
      </c>
      <c r="Z17" s="1260">
        <f t="shared" ca="1" si="2"/>
        <v>23.079547096145831</v>
      </c>
      <c r="AA17" s="1259">
        <f ca="1">SUM(B17:Z17)</f>
        <v>851.32955740364571</v>
      </c>
    </row>
    <row r="18" spans="1:27" x14ac:dyDescent="0.35">
      <c r="A18" s="1291"/>
      <c r="B18" s="1322"/>
      <c r="C18" s="1322"/>
      <c r="D18" s="1322"/>
      <c r="E18" s="1322"/>
      <c r="F18" s="1322"/>
      <c r="G18" s="1322"/>
      <c r="H18" s="1322"/>
      <c r="I18" s="1322"/>
      <c r="J18" s="1322"/>
      <c r="K18" s="1322"/>
      <c r="L18" s="1322"/>
      <c r="M18" s="1322"/>
      <c r="N18" s="1322"/>
      <c r="O18" s="1322"/>
      <c r="P18" s="1322"/>
      <c r="Q18" s="1322"/>
      <c r="R18" s="1322"/>
      <c r="S18" s="1322"/>
      <c r="T18" s="1322"/>
      <c r="U18" s="1322"/>
      <c r="V18" s="1322"/>
      <c r="W18" s="1322"/>
      <c r="X18" s="1322"/>
      <c r="Y18" s="1322"/>
      <c r="Z18" s="1322"/>
      <c r="AA18" s="179"/>
    </row>
    <row r="19" spans="1:27" x14ac:dyDescent="0.35">
      <c r="A19" t="s">
        <v>1177</v>
      </c>
      <c r="B19" s="1263">
        <f ca="1">-(B17-'Factura Socios Sen CE'!B17)</f>
        <v>9.4851899999999993</v>
      </c>
      <c r="C19" s="1263">
        <f ca="1">-(C17-'Factura Socios Sen CE'!C17)</f>
        <v>7.9043250000000036</v>
      </c>
      <c r="D19" s="1263">
        <f ca="1">-(D17-'Factura Socios Sen CE'!D17)</f>
        <v>26.388284999999996</v>
      </c>
      <c r="E19" s="1263">
        <f ca="1">-(E17-'Factura Socios Sen CE'!E17)</f>
        <v>20.308035000000004</v>
      </c>
      <c r="F19" s="1263">
        <f ca="1">-(F17-'Factura Socios Sen CE'!F17)</f>
        <v>14.957415000000012</v>
      </c>
      <c r="G19" s="1263">
        <f ca="1">-(G17-'Factura Socios Sen CE'!G17)</f>
        <v>31.495695000000012</v>
      </c>
      <c r="H19" s="1263">
        <f ca="1">-(H17-'Factura Socios Sen CE'!H17)</f>
        <v>14.106180000000002</v>
      </c>
      <c r="I19" s="1263">
        <f ca="1">-(I17-'Factura Socios Sen CE'!I17)</f>
        <v>12.586117500000004</v>
      </c>
      <c r="J19" s="1263">
        <f ca="1">-(J17-'Factura Socios Sen CE'!J17)</f>
        <v>8.4515475000000038</v>
      </c>
      <c r="K19" s="1263">
        <f ca="1">-(K17-'Factura Socios Sen CE'!K17)</f>
        <v>17.997540000000008</v>
      </c>
      <c r="L19" s="1263">
        <f ca="1">-(L17-'Factura Socios Sen CE'!L17)</f>
        <v>7.2962999999999987</v>
      </c>
      <c r="M19" s="1263">
        <f ca="1">-(M17-'Factura Socios Sen CE'!M17)</f>
        <v>17.085502500000011</v>
      </c>
      <c r="N19" s="1263">
        <f ca="1">-(N17-'Factura Socios Sen CE'!N17)</f>
        <v>4.8033975000000062</v>
      </c>
      <c r="O19" s="1263">
        <f ca="1">-(O17-'Factura Socios Sen CE'!O17)</f>
        <v>11.8564875</v>
      </c>
      <c r="P19" s="1263">
        <f ca="1">-(P17-'Factura Socios Sen CE'!P17)</f>
        <v>18.058342500000002</v>
      </c>
      <c r="Q19" s="1263">
        <f ca="1">-(Q17-'Factura Socios Sen CE'!Q17)</f>
        <v>31.921312500000013</v>
      </c>
      <c r="R19" s="1263">
        <f ca="1">-(R17-'Factura Socios Sen CE'!R17)</f>
        <v>29.489212499999994</v>
      </c>
      <c r="S19" s="1263">
        <f ca="1">-(S17-'Factura Socios Sen CE'!S17)</f>
        <v>20.125627500000007</v>
      </c>
      <c r="T19" s="1263">
        <f ca="1">-(T17-'Factura Socios Sen CE'!T17)</f>
        <v>8.6339550000000003</v>
      </c>
      <c r="U19" s="1263">
        <f ca="1">-(U17-'Factura Socios Sen CE'!U17)</f>
        <v>19.152787500000002</v>
      </c>
      <c r="V19" s="1263">
        <f ca="1">-(V17-'Factura Socios Sen CE'!V17)</f>
        <v>10.94445</v>
      </c>
      <c r="W19" s="1263">
        <f ca="1">-(W17-'Factura Socios Sen CE'!W17)</f>
        <v>9.0595725000000051</v>
      </c>
      <c r="X19" s="1263">
        <f ca="1">-(X17-'Factura Socios Sen CE'!X17)</f>
        <v>19.578405000000004</v>
      </c>
      <c r="Y19" s="1263">
        <f ca="1">-(Y17-'Factura Socios Sen CE'!Y17)</f>
        <v>17.936737499999992</v>
      </c>
      <c r="Z19" s="1263">
        <f ca="1">-(Z17-'Factura Socios Sen CE'!Z17)</f>
        <v>4.8033975000000062</v>
      </c>
      <c r="AA19" s="1321">
        <f ca="1">SUM(B19:Z19)</f>
        <v>394.42581750000022</v>
      </c>
    </row>
    <row r="20" spans="1:27" x14ac:dyDescent="0.35">
      <c r="A20" t="s">
        <v>1176</v>
      </c>
      <c r="B20" s="1263">
        <f ca="1">'Ingresos Socios'!B10</f>
        <v>11.959552959614584</v>
      </c>
      <c r="C20" s="1263">
        <f ca="1">'Ingresos Socios'!C10</f>
        <v>11.643379959614583</v>
      </c>
      <c r="D20" s="1263">
        <f ca="1">'Ingresos Socios'!D10</f>
        <v>15.340171959614583</v>
      </c>
      <c r="E20" s="1263">
        <f ca="1">'Ingresos Socios'!E10</f>
        <v>14.124121959614584</v>
      </c>
      <c r="F20" s="1263">
        <f ca="1">'Ingresos Socios'!F10</f>
        <v>13.053997959614584</v>
      </c>
      <c r="G20" s="1263">
        <f ca="1">'Ingresos Socios'!G10</f>
        <v>16.361653959614586</v>
      </c>
      <c r="H20" s="1263">
        <f ca="1">'Ingresos Socios'!H10</f>
        <v>12.883750959614584</v>
      </c>
      <c r="I20" s="1263">
        <f ca="1">'Ingresos Socios'!I10</f>
        <v>12.579738459614584</v>
      </c>
      <c r="J20" s="1263">
        <f ca="1">'Ingresos Socios'!J10</f>
        <v>11.752824459614583</v>
      </c>
      <c r="K20" s="1263">
        <f ca="1">'Ingresos Socios'!K10</f>
        <v>13.662022959614585</v>
      </c>
      <c r="L20" s="1263">
        <f ca="1">'Ingresos Socios'!L10</f>
        <v>11.521774959614582</v>
      </c>
      <c r="M20" s="1263">
        <f ca="1">'Ingresos Socios'!M10</f>
        <v>13.479615459614585</v>
      </c>
      <c r="N20" s="1263">
        <f ca="1">'Ingresos Socios'!N10</f>
        <v>11.023194459614583</v>
      </c>
      <c r="O20" s="1263">
        <f ca="1">'Ingresos Socios'!O10</f>
        <v>12.433812459614582</v>
      </c>
      <c r="P20" s="1263">
        <f ca="1">'Ingresos Socios'!P10</f>
        <v>13.674183459614584</v>
      </c>
      <c r="Q20" s="1263">
        <f ca="1">'Ingresos Socios'!Q10</f>
        <v>16.446777459614584</v>
      </c>
      <c r="R20" s="1263">
        <f ca="1">'Ingresos Socios'!R10</f>
        <v>15.960357459614583</v>
      </c>
      <c r="S20" s="1263">
        <f ca="1">'Ingresos Socios'!S10</f>
        <v>14.087640459614583</v>
      </c>
      <c r="T20" s="1263">
        <f ca="1">'Ingresos Socios'!T10</f>
        <v>11.789305959614584</v>
      </c>
      <c r="U20" s="1263">
        <f ca="1">'Ingresos Socios'!U10</f>
        <v>13.893072459614583</v>
      </c>
      <c r="V20" s="1263">
        <f ca="1">'Ingresos Socios'!V10</f>
        <v>12.251404959614582</v>
      </c>
      <c r="W20" s="1263">
        <f ca="1">'Ingresos Socios'!W10</f>
        <v>11.874429459614584</v>
      </c>
      <c r="X20" s="1263">
        <f ca="1">'Ingresos Socios'!X10</f>
        <v>13.978195959614585</v>
      </c>
      <c r="Y20" s="1263">
        <f ca="1">'Ingresos Socios'!Y10</f>
        <v>13.649862459614582</v>
      </c>
      <c r="Z20" s="1263">
        <f ca="1">'Ingresos Socios'!Z10</f>
        <v>11.023194459614583</v>
      </c>
      <c r="AA20" s="1321">
        <f ca="1">SUM(B20:Z20)</f>
        <v>330.4480374903647</v>
      </c>
    </row>
    <row r="21" spans="1:27" x14ac:dyDescent="0.35">
      <c r="A21" t="s">
        <v>1175</v>
      </c>
      <c r="B21" s="1263">
        <f t="shared" ref="B21:Z21" ca="1" si="3">B20-B19</f>
        <v>2.4743629596145844</v>
      </c>
      <c r="C21" s="1263">
        <f t="shared" ca="1" si="3"/>
        <v>3.7390549596145792</v>
      </c>
      <c r="D21" s="1263">
        <f t="shared" ca="1" si="3"/>
        <v>-11.048113040385413</v>
      </c>
      <c r="E21" s="1263">
        <f t="shared" ca="1" si="3"/>
        <v>-6.1839130403854199</v>
      </c>
      <c r="F21" s="1263">
        <f t="shared" ca="1" si="3"/>
        <v>-1.9034170403854276</v>
      </c>
      <c r="G21" s="1263">
        <f t="shared" ca="1" si="3"/>
        <v>-15.134041040385426</v>
      </c>
      <c r="H21" s="1263">
        <f t="shared" ca="1" si="3"/>
        <v>-1.2224290403854177</v>
      </c>
      <c r="I21" s="1263">
        <f t="shared" ca="1" si="3"/>
        <v>-6.3790403854202538E-3</v>
      </c>
      <c r="J21" s="1263">
        <f t="shared" ca="1" si="3"/>
        <v>3.3012769596145795</v>
      </c>
      <c r="K21" s="1263">
        <f t="shared" ca="1" si="3"/>
        <v>-4.3355170403854224</v>
      </c>
      <c r="L21" s="1263">
        <f t="shared" ca="1" si="3"/>
        <v>4.2254749596145835</v>
      </c>
      <c r="M21" s="1263">
        <f t="shared" ca="1" si="3"/>
        <v>-3.6058870403854257</v>
      </c>
      <c r="N21" s="1263">
        <f t="shared" ca="1" si="3"/>
        <v>6.2197969596145768</v>
      </c>
      <c r="O21" s="1263">
        <f t="shared" ca="1" si="3"/>
        <v>0.57732495961458241</v>
      </c>
      <c r="P21" s="1263">
        <f t="shared" ca="1" si="3"/>
        <v>-4.384159040385418</v>
      </c>
      <c r="Q21" s="1263">
        <f t="shared" ca="1" si="3"/>
        <v>-15.47453504038543</v>
      </c>
      <c r="R21" s="1263">
        <f t="shared" ca="1" si="3"/>
        <v>-13.528855040385411</v>
      </c>
      <c r="S21" s="1263">
        <f t="shared" ca="1" si="3"/>
        <v>-6.0379870403854241</v>
      </c>
      <c r="T21" s="1263">
        <f t="shared" ca="1" si="3"/>
        <v>3.1553509596145837</v>
      </c>
      <c r="U21" s="1263">
        <f t="shared" ca="1" si="3"/>
        <v>-5.2597150403854194</v>
      </c>
      <c r="V21" s="1263">
        <f t="shared" ca="1" si="3"/>
        <v>1.3069549596145826</v>
      </c>
      <c r="W21" s="1263">
        <f t="shared" ca="1" si="3"/>
        <v>2.8148569596145787</v>
      </c>
      <c r="X21" s="1263">
        <f t="shared" ca="1" si="3"/>
        <v>-5.600209040385419</v>
      </c>
      <c r="Y21" s="1263">
        <f t="shared" ca="1" si="3"/>
        <v>-4.2868750403854108</v>
      </c>
      <c r="Z21" s="1263">
        <f t="shared" ca="1" si="3"/>
        <v>6.2197969596145768</v>
      </c>
      <c r="AA21" s="1321">
        <f ca="1">SUM(B21:Z21)</f>
        <v>-63.977780009635488</v>
      </c>
    </row>
    <row r="22" spans="1:27" x14ac:dyDescent="0.35">
      <c r="B22" s="1263"/>
      <c r="C22" s="38"/>
    </row>
    <row r="23" spans="1:27" ht="15" thickBot="1" x14ac:dyDescent="0.4">
      <c r="B23" s="1263"/>
      <c r="C23" s="38"/>
    </row>
    <row r="24" spans="1:27" ht="29.5" thickBot="1" x14ac:dyDescent="0.4">
      <c r="A24" s="1320" t="s">
        <v>1174</v>
      </c>
      <c r="B24" s="1319">
        <f t="shared" ref="B24:Z24" ca="1" si="4">B21-B29</f>
        <v>-1.4256370403854159</v>
      </c>
      <c r="C24" s="1319">
        <f t="shared" ca="1" si="4"/>
        <v>0.48905495961457923</v>
      </c>
      <c r="D24" s="1319">
        <f t="shared" ca="1" si="4"/>
        <v>-21.898113040385415</v>
      </c>
      <c r="E24" s="1319">
        <f t="shared" ca="1" si="4"/>
        <v>-14.53391304038542</v>
      </c>
      <c r="F24" s="1319">
        <f t="shared" ca="1" si="4"/>
        <v>-8.0534170403854279</v>
      </c>
      <c r="G24" s="1319">
        <f t="shared" ca="1" si="4"/>
        <v>-28.084041040385429</v>
      </c>
      <c r="H24" s="1319">
        <f t="shared" ca="1" si="4"/>
        <v>-7.0224290403854184</v>
      </c>
      <c r="I24" s="1319">
        <f t="shared" ca="1" si="4"/>
        <v>-5.181379040385421</v>
      </c>
      <c r="J24" s="1319">
        <f t="shared" ca="1" si="4"/>
        <v>-0.17372304038542064</v>
      </c>
      <c r="K24" s="1319">
        <f t="shared" ca="1" si="4"/>
        <v>-11.735517040385423</v>
      </c>
      <c r="L24" s="1319">
        <f t="shared" ca="1" si="4"/>
        <v>1.2254749596145835</v>
      </c>
      <c r="M24" s="1319">
        <f t="shared" ca="1" si="4"/>
        <v>-10.630887040385426</v>
      </c>
      <c r="N24" s="1319">
        <f t="shared" ca="1" si="4"/>
        <v>4.2447969596145771</v>
      </c>
      <c r="O24" s="1319">
        <f t="shared" ca="1" si="4"/>
        <v>-4.2976750403854176</v>
      </c>
      <c r="P24" s="1319">
        <f t="shared" ca="1" si="4"/>
        <v>-11.809159040385419</v>
      </c>
      <c r="Q24" s="1319">
        <f t="shared" ca="1" si="4"/>
        <v>-28.59953504038543</v>
      </c>
      <c r="R24" s="1319">
        <f t="shared" ca="1" si="4"/>
        <v>-25.653855040385409</v>
      </c>
      <c r="S24" s="1319">
        <f t="shared" ca="1" si="4"/>
        <v>-14.312987040385424</v>
      </c>
      <c r="T24" s="1319">
        <f t="shared" ca="1" si="4"/>
        <v>-0.39464904038541659</v>
      </c>
      <c r="U24" s="1319">
        <f t="shared" ca="1" si="4"/>
        <v>-13.134715040385419</v>
      </c>
      <c r="V24" s="1319">
        <f t="shared" ca="1" si="4"/>
        <v>-3.1930450403854174</v>
      </c>
      <c r="W24" s="1319">
        <f t="shared" ca="1" si="4"/>
        <v>-0.91014304038542138</v>
      </c>
      <c r="X24" s="1319">
        <f t="shared" ca="1" si="4"/>
        <v>-13.65020904038542</v>
      </c>
      <c r="Y24" s="1319">
        <f t="shared" ca="1" si="4"/>
        <v>-11.661875040385411</v>
      </c>
      <c r="Z24" s="1319">
        <f t="shared" ca="1" si="4"/>
        <v>4.2447969596145771</v>
      </c>
      <c r="AA24" s="626">
        <f ca="1">SUM(B24:Z24)</f>
        <v>-226.15278000963551</v>
      </c>
    </row>
    <row r="25" spans="1:27" ht="15" thickBot="1" x14ac:dyDescent="0.4">
      <c r="B25" s="371"/>
      <c r="C25" s="38"/>
    </row>
    <row r="26" spans="1:27" ht="15" thickBot="1" x14ac:dyDescent="0.4">
      <c r="A26" s="1318" t="s">
        <v>1115</v>
      </c>
      <c r="B26" s="371"/>
      <c r="C26" s="38"/>
    </row>
    <row r="27" spans="1:27" ht="29" x14ac:dyDescent="0.35">
      <c r="A27" s="1316" t="s">
        <v>1112</v>
      </c>
      <c r="B27" s="1268">
        <f t="shared" ref="B27:Z27" ca="1" si="5">B53*$C$34*$D$34</f>
        <v>3.9000000000000004</v>
      </c>
      <c r="C27" s="1268">
        <f t="shared" ca="1" si="5"/>
        <v>3.25</v>
      </c>
      <c r="D27" s="1268">
        <f t="shared" ca="1" si="5"/>
        <v>10.850000000000001</v>
      </c>
      <c r="E27" s="1268">
        <f t="shared" ca="1" si="5"/>
        <v>8.35</v>
      </c>
      <c r="F27" s="1268">
        <f t="shared" ca="1" si="5"/>
        <v>6.15</v>
      </c>
      <c r="G27" s="1268">
        <f t="shared" ca="1" si="5"/>
        <v>12.950000000000001</v>
      </c>
      <c r="H27" s="1268">
        <f t="shared" ca="1" si="5"/>
        <v>5.8000000000000007</v>
      </c>
      <c r="I27" s="1268">
        <f t="shared" ca="1" si="5"/>
        <v>5.1750000000000007</v>
      </c>
      <c r="J27" s="1268">
        <f t="shared" ca="1" si="5"/>
        <v>3.4750000000000001</v>
      </c>
      <c r="K27" s="1268">
        <f t="shared" ca="1" si="5"/>
        <v>7.4</v>
      </c>
      <c r="L27" s="1268">
        <f t="shared" ca="1" si="5"/>
        <v>3</v>
      </c>
      <c r="M27" s="1268">
        <f t="shared" ca="1" si="5"/>
        <v>7.0250000000000004</v>
      </c>
      <c r="N27" s="1268">
        <f t="shared" ca="1" si="5"/>
        <v>1.9750000000000001</v>
      </c>
      <c r="O27" s="1268">
        <f t="shared" ca="1" si="5"/>
        <v>4.875</v>
      </c>
      <c r="P27" s="1268">
        <f t="shared" ca="1" si="5"/>
        <v>7.4250000000000007</v>
      </c>
      <c r="Q27" s="1268">
        <f t="shared" ca="1" si="5"/>
        <v>13.125</v>
      </c>
      <c r="R27" s="1268">
        <f t="shared" ca="1" si="5"/>
        <v>12.125</v>
      </c>
      <c r="S27" s="1268">
        <f t="shared" ca="1" si="5"/>
        <v>8.2750000000000004</v>
      </c>
      <c r="T27" s="1268">
        <f t="shared" ca="1" si="5"/>
        <v>3.5500000000000003</v>
      </c>
      <c r="U27" s="1268">
        <f t="shared" ca="1" si="5"/>
        <v>7.875</v>
      </c>
      <c r="V27" s="1268">
        <f t="shared" ca="1" si="5"/>
        <v>4.5</v>
      </c>
      <c r="W27" s="1268">
        <f t="shared" ca="1" si="5"/>
        <v>3.7250000000000001</v>
      </c>
      <c r="X27" s="1268">
        <f t="shared" ca="1" si="5"/>
        <v>8.0500000000000007</v>
      </c>
      <c r="Y27" s="1268">
        <f t="shared" ca="1" si="5"/>
        <v>7.375</v>
      </c>
      <c r="Z27" s="1268">
        <f t="shared" ca="1" si="5"/>
        <v>1.9750000000000001</v>
      </c>
      <c r="AA27" s="1317">
        <f ca="1">SUM(B27:Z27)</f>
        <v>162.17500000000001</v>
      </c>
    </row>
    <row r="28" spans="1:27" ht="15" thickBot="1" x14ac:dyDescent="0.4">
      <c r="A28" s="1316" t="s">
        <v>1111</v>
      </c>
      <c r="B28" s="1268">
        <f t="shared" ref="B28:Z28" ca="1" si="6">B54*$C$35*$D$35</f>
        <v>0</v>
      </c>
      <c r="C28" s="1263">
        <f t="shared" ca="1" si="6"/>
        <v>0</v>
      </c>
      <c r="D28" s="1263">
        <f t="shared" ca="1" si="6"/>
        <v>0</v>
      </c>
      <c r="E28" s="1263">
        <f t="shared" ca="1" si="6"/>
        <v>0</v>
      </c>
      <c r="F28" s="1263">
        <f t="shared" ca="1" si="6"/>
        <v>0</v>
      </c>
      <c r="G28" s="1263">
        <f t="shared" ca="1" si="6"/>
        <v>0</v>
      </c>
      <c r="H28" s="1263">
        <f t="shared" ca="1" si="6"/>
        <v>0</v>
      </c>
      <c r="I28" s="1263">
        <f t="shared" ca="1" si="6"/>
        <v>0</v>
      </c>
      <c r="J28" s="1263">
        <f t="shared" ca="1" si="6"/>
        <v>0</v>
      </c>
      <c r="K28" s="1263">
        <f t="shared" ca="1" si="6"/>
        <v>0</v>
      </c>
      <c r="L28" s="1263">
        <f t="shared" ca="1" si="6"/>
        <v>0</v>
      </c>
      <c r="M28" s="1263">
        <f t="shared" ca="1" si="6"/>
        <v>0</v>
      </c>
      <c r="N28" s="1263">
        <f t="shared" ca="1" si="6"/>
        <v>0</v>
      </c>
      <c r="O28" s="1263">
        <f t="shared" ca="1" si="6"/>
        <v>0</v>
      </c>
      <c r="P28" s="1263">
        <f t="shared" ca="1" si="6"/>
        <v>0</v>
      </c>
      <c r="Q28" s="1263">
        <f t="shared" ca="1" si="6"/>
        <v>0</v>
      </c>
      <c r="R28" s="1263">
        <f t="shared" ca="1" si="6"/>
        <v>0</v>
      </c>
      <c r="S28" s="1263">
        <f t="shared" ca="1" si="6"/>
        <v>0</v>
      </c>
      <c r="T28" s="1263">
        <f t="shared" ca="1" si="6"/>
        <v>0</v>
      </c>
      <c r="U28" s="1263">
        <f t="shared" ca="1" si="6"/>
        <v>0</v>
      </c>
      <c r="V28" s="1263">
        <f t="shared" ca="1" si="6"/>
        <v>0</v>
      </c>
      <c r="W28" s="1263">
        <f t="shared" ca="1" si="6"/>
        <v>0</v>
      </c>
      <c r="X28" s="1263">
        <f t="shared" ca="1" si="6"/>
        <v>0</v>
      </c>
      <c r="Y28" s="1263">
        <f t="shared" ca="1" si="6"/>
        <v>0</v>
      </c>
      <c r="Z28" s="1263">
        <f t="shared" ca="1" si="6"/>
        <v>0</v>
      </c>
      <c r="AA28" s="1315">
        <f ca="1">SUM(B28:Z28)</f>
        <v>0</v>
      </c>
    </row>
    <row r="29" spans="1:27" ht="15" thickBot="1" x14ac:dyDescent="0.4">
      <c r="A29" s="1262" t="s">
        <v>1110</v>
      </c>
      <c r="B29" s="1313">
        <f t="shared" ref="B29:Z29" ca="1" si="7">SUM(B27:B28)</f>
        <v>3.9000000000000004</v>
      </c>
      <c r="C29" s="1313">
        <f t="shared" ca="1" si="7"/>
        <v>3.25</v>
      </c>
      <c r="D29" s="1313">
        <f t="shared" ca="1" si="7"/>
        <v>10.850000000000001</v>
      </c>
      <c r="E29" s="1313">
        <f t="shared" ca="1" si="7"/>
        <v>8.35</v>
      </c>
      <c r="F29" s="1313">
        <f t="shared" ca="1" si="7"/>
        <v>6.15</v>
      </c>
      <c r="G29" s="1313">
        <f t="shared" ca="1" si="7"/>
        <v>12.950000000000001</v>
      </c>
      <c r="H29" s="1313">
        <f t="shared" ca="1" si="7"/>
        <v>5.8000000000000007</v>
      </c>
      <c r="I29" s="1313">
        <f t="shared" ca="1" si="7"/>
        <v>5.1750000000000007</v>
      </c>
      <c r="J29" s="1313">
        <f t="shared" ca="1" si="7"/>
        <v>3.4750000000000001</v>
      </c>
      <c r="K29" s="1313">
        <f t="shared" ca="1" si="7"/>
        <v>7.4</v>
      </c>
      <c r="L29" s="1313">
        <f t="shared" ca="1" si="7"/>
        <v>3</v>
      </c>
      <c r="M29" s="1313">
        <f t="shared" ca="1" si="7"/>
        <v>7.0250000000000004</v>
      </c>
      <c r="N29" s="1313">
        <f t="shared" ca="1" si="7"/>
        <v>1.9750000000000001</v>
      </c>
      <c r="O29" s="1313">
        <f t="shared" ca="1" si="7"/>
        <v>4.875</v>
      </c>
      <c r="P29" s="1313">
        <f t="shared" ca="1" si="7"/>
        <v>7.4250000000000007</v>
      </c>
      <c r="Q29" s="1313">
        <f t="shared" ca="1" si="7"/>
        <v>13.125</v>
      </c>
      <c r="R29" s="1313">
        <f t="shared" ca="1" si="7"/>
        <v>12.125</v>
      </c>
      <c r="S29" s="1313">
        <f t="shared" ca="1" si="7"/>
        <v>8.2750000000000004</v>
      </c>
      <c r="T29" s="1313">
        <f t="shared" ca="1" si="7"/>
        <v>3.5500000000000003</v>
      </c>
      <c r="U29" s="1313">
        <f t="shared" ca="1" si="7"/>
        <v>7.875</v>
      </c>
      <c r="V29" s="1313">
        <f t="shared" ca="1" si="7"/>
        <v>4.5</v>
      </c>
      <c r="W29" s="1313">
        <f t="shared" ca="1" si="7"/>
        <v>3.7250000000000001</v>
      </c>
      <c r="X29" s="1313">
        <f t="shared" ca="1" si="7"/>
        <v>8.0500000000000007</v>
      </c>
      <c r="Y29" s="1313">
        <f t="shared" ca="1" si="7"/>
        <v>7.375</v>
      </c>
      <c r="Z29" s="1313">
        <f t="shared" ca="1" si="7"/>
        <v>1.9750000000000001</v>
      </c>
      <c r="AA29" s="1259">
        <f ca="1">SUM(B29:Z29)</f>
        <v>162.17500000000001</v>
      </c>
    </row>
    <row r="30" spans="1:27" x14ac:dyDescent="0.35">
      <c r="A30" s="1291"/>
      <c r="B30" s="1290"/>
      <c r="C30" s="1290"/>
      <c r="D30" s="1290"/>
      <c r="E30" s="1290"/>
      <c r="F30" s="1290"/>
      <c r="G30" s="1290"/>
      <c r="H30" s="1290"/>
      <c r="I30" s="1290"/>
      <c r="J30" s="1290"/>
      <c r="K30" s="1290"/>
      <c r="L30" s="1290"/>
      <c r="M30" s="1290"/>
      <c r="N30" s="1290"/>
      <c r="O30" s="1290"/>
      <c r="P30" s="1290"/>
      <c r="Q30" s="1290"/>
      <c r="R30" s="1290"/>
      <c r="S30" s="1290"/>
      <c r="T30" s="1290"/>
      <c r="U30" s="1290"/>
      <c r="V30" s="1290"/>
      <c r="W30" s="1290"/>
      <c r="X30" s="1290"/>
      <c r="Y30" s="1290"/>
      <c r="Z30" s="1290"/>
      <c r="AA30" s="179"/>
    </row>
    <row r="31" spans="1:27" ht="15" thickBot="1" x14ac:dyDescent="0.4">
      <c r="B31" s="1290"/>
      <c r="C31" s="1290"/>
      <c r="D31" s="1290"/>
      <c r="E31" s="1290"/>
      <c r="F31" s="1290"/>
      <c r="G31" s="1290"/>
      <c r="H31" s="1290"/>
      <c r="I31" s="1290"/>
      <c r="J31" s="1290"/>
      <c r="K31" s="1290"/>
      <c r="L31" s="1290"/>
      <c r="M31" s="1290"/>
      <c r="N31" s="1290"/>
      <c r="O31" s="1290"/>
      <c r="P31" s="1290"/>
      <c r="Q31" s="1290"/>
      <c r="R31" s="1290"/>
      <c r="S31" s="1290"/>
      <c r="T31" s="1290"/>
      <c r="U31" s="1290"/>
      <c r="V31" s="1290"/>
      <c r="W31" s="1290"/>
      <c r="X31" s="1290"/>
      <c r="Y31" s="1290"/>
      <c r="Z31" s="1290"/>
      <c r="AA31" s="179"/>
    </row>
    <row r="32" spans="1:27" ht="29.5" thickBot="1" x14ac:dyDescent="0.4">
      <c r="A32" s="1314" t="s">
        <v>1173</v>
      </c>
      <c r="B32" s="1313" t="s">
        <v>1172</v>
      </c>
      <c r="C32" s="1312" t="s">
        <v>1171</v>
      </c>
      <c r="D32" s="1312" t="s">
        <v>1170</v>
      </c>
      <c r="E32" s="1311" t="s">
        <v>1169</v>
      </c>
      <c r="F32" s="1290"/>
      <c r="G32" s="1290"/>
      <c r="H32" s="1290"/>
      <c r="I32" s="1290"/>
      <c r="J32" s="1290"/>
      <c r="K32" s="1290"/>
      <c r="L32" s="1290"/>
      <c r="M32" s="1290"/>
      <c r="N32" s="1290"/>
      <c r="O32" s="1290"/>
      <c r="P32" s="1290"/>
      <c r="Q32" s="1290"/>
      <c r="R32" s="1290"/>
      <c r="S32" s="1290"/>
      <c r="T32" s="1290"/>
      <c r="U32" s="1290"/>
      <c r="V32" s="1290"/>
      <c r="W32" s="1290"/>
      <c r="X32" s="1290"/>
      <c r="Y32" s="1290"/>
      <c r="Z32" s="1290"/>
      <c r="AA32" s="179"/>
    </row>
    <row r="33" spans="1:27" ht="29" x14ac:dyDescent="0.35">
      <c r="A33" s="1310" t="s">
        <v>1168</v>
      </c>
      <c r="B33" s="1309">
        <f>('Estim. Ingresos'!$D12/12)*1000</f>
        <v>3721.6666666666661</v>
      </c>
      <c r="C33" s="1308">
        <v>1</v>
      </c>
      <c r="D33" s="1307">
        <f>'Hipóteses xerais (2)'!$C23*'Hipóteses xerais (2)'!$C$22/1000</f>
        <v>0.1</v>
      </c>
      <c r="E33" s="1306">
        <f>B33*C33*D33</f>
        <v>372.16666666666663</v>
      </c>
      <c r="F33" s="1290"/>
      <c r="G33" s="1290"/>
      <c r="H33" s="1290"/>
      <c r="I33" s="1290"/>
      <c r="J33" s="1290"/>
      <c r="K33" s="1290"/>
      <c r="L33" s="1290"/>
      <c r="M33" s="1290"/>
      <c r="N33" s="1290"/>
      <c r="O33" s="1290"/>
      <c r="P33" s="1290"/>
      <c r="Q33" s="1290"/>
      <c r="R33" s="1290"/>
      <c r="S33" s="1290"/>
      <c r="T33" s="1290"/>
      <c r="U33" s="1290"/>
      <c r="V33" s="1290"/>
      <c r="W33" s="1290"/>
      <c r="X33" s="1290"/>
      <c r="Y33" s="1290"/>
      <c r="Z33" s="1290"/>
      <c r="AA33" s="179"/>
    </row>
    <row r="34" spans="1:27" ht="29" x14ac:dyDescent="0.35">
      <c r="A34" s="1305" t="s">
        <v>1167</v>
      </c>
      <c r="B34" s="1304">
        <f>('Estim. Ingresos'!$D13/12)*1000</f>
        <v>3721.6666666666661</v>
      </c>
      <c r="C34" s="1303">
        <f>'Hipóteses xerais (2)'!$C$29</f>
        <v>1</v>
      </c>
      <c r="D34" s="1302">
        <f>'Hipóteses xerais (2)'!$C24*'Hipóteses xerais (2)'!$C$22/1000</f>
        <v>0.05</v>
      </c>
      <c r="E34" s="1301">
        <f>B34*C34*D34</f>
        <v>186.08333333333331</v>
      </c>
      <c r="F34" s="1290"/>
      <c r="G34" s="1290"/>
      <c r="H34" s="1290"/>
      <c r="I34" s="1290"/>
      <c r="J34" s="1290"/>
      <c r="K34" s="1290"/>
      <c r="L34" s="1290"/>
      <c r="M34" s="1290"/>
      <c r="N34" s="1290"/>
      <c r="O34" s="1290"/>
      <c r="P34" s="1290"/>
      <c r="Q34" s="1290"/>
      <c r="R34" s="1290"/>
      <c r="S34" s="1290"/>
      <c r="T34" s="1290"/>
      <c r="U34" s="1290"/>
      <c r="V34" s="1290"/>
      <c r="W34" s="1290"/>
      <c r="X34" s="1290"/>
      <c r="Y34" s="1290"/>
      <c r="Z34" s="1290"/>
      <c r="AA34" s="179"/>
    </row>
    <row r="35" spans="1:27" ht="29.5" thickBot="1" x14ac:dyDescent="0.4">
      <c r="A35" s="1300" t="s">
        <v>1166</v>
      </c>
      <c r="B35" s="1299">
        <f>('Estim. Ingresos'!$D14/12)*1000</f>
        <v>0</v>
      </c>
      <c r="C35" s="1298">
        <v>1</v>
      </c>
      <c r="D35" s="1297">
        <f>'Hipóteses xerais (2)'!$C25*'Hipóteses xerais (2)'!$C$22/1000</f>
        <v>7.4999999999999997E-2</v>
      </c>
      <c r="E35" s="1296">
        <f>B35*C35*D35</f>
        <v>0</v>
      </c>
      <c r="F35" s="1290"/>
      <c r="G35" s="1290"/>
      <c r="H35" s="1290"/>
      <c r="I35" s="1290"/>
      <c r="J35" s="1290"/>
      <c r="K35" s="1290"/>
      <c r="L35" s="1290"/>
      <c r="M35" s="1290"/>
      <c r="N35" s="1290"/>
      <c r="O35" s="1290"/>
      <c r="P35" s="1290"/>
      <c r="Q35" s="1290"/>
      <c r="R35" s="1290"/>
      <c r="S35" s="1290"/>
      <c r="T35" s="1290"/>
      <c r="U35" s="1290"/>
      <c r="V35" s="1290"/>
      <c r="W35" s="1290"/>
      <c r="X35" s="1290"/>
      <c r="Y35" s="1290"/>
      <c r="Z35" s="1290"/>
      <c r="AA35" s="179"/>
    </row>
    <row r="36" spans="1:27" ht="15" thickBot="1" x14ac:dyDescent="0.4">
      <c r="A36" s="1295" t="s">
        <v>1165</v>
      </c>
      <c r="B36" s="1294">
        <f>SUM(B33:B35)</f>
        <v>7443.3333333333321</v>
      </c>
      <c r="C36" s="1293"/>
      <c r="D36" s="1293"/>
      <c r="E36" s="1292">
        <v>1023.93</v>
      </c>
      <c r="F36" s="1290"/>
      <c r="G36" s="1290"/>
      <c r="H36" s="1290"/>
      <c r="I36" s="1290"/>
      <c r="J36" s="1290"/>
      <c r="K36" s="1290"/>
      <c r="L36" s="1290"/>
      <c r="M36" s="1290"/>
      <c r="N36" s="1290"/>
      <c r="O36" s="1290"/>
      <c r="P36" s="1290"/>
      <c r="Q36" s="1290"/>
      <c r="R36" s="1290"/>
      <c r="S36" s="1290"/>
      <c r="T36" s="1290"/>
      <c r="U36" s="1290"/>
      <c r="V36" s="1290"/>
      <c r="W36" s="1290"/>
      <c r="X36" s="1290"/>
      <c r="Y36" s="1290"/>
      <c r="Z36" s="1290"/>
      <c r="AA36" s="179"/>
    </row>
    <row r="37" spans="1:27" x14ac:dyDescent="0.35">
      <c r="A37" s="1291"/>
      <c r="B37" s="1290"/>
      <c r="C37" s="1290"/>
      <c r="D37" s="1290"/>
      <c r="E37" s="1290"/>
      <c r="F37" s="1290"/>
      <c r="G37" s="1290"/>
      <c r="H37" s="1290"/>
      <c r="I37" s="1290"/>
      <c r="J37" s="1290"/>
      <c r="K37" s="1290"/>
      <c r="L37" s="1290"/>
      <c r="M37" s="1290"/>
      <c r="N37" s="1290"/>
      <c r="O37" s="1290"/>
      <c r="P37" s="1290"/>
      <c r="Q37" s="1290"/>
      <c r="R37" s="1290"/>
      <c r="S37" s="1290"/>
      <c r="T37" s="1290"/>
      <c r="U37" s="1290"/>
      <c r="V37" s="1290"/>
      <c r="W37" s="1290"/>
      <c r="X37" s="1290"/>
      <c r="Y37" s="1290"/>
      <c r="Z37" s="1290"/>
      <c r="AA37" s="179"/>
    </row>
    <row r="38" spans="1:27" x14ac:dyDescent="0.35">
      <c r="A38" s="1291"/>
      <c r="B38" s="1290"/>
      <c r="C38" s="1290"/>
      <c r="D38" s="1290"/>
      <c r="E38" s="1290"/>
      <c r="F38" s="1290"/>
      <c r="G38" s="1290"/>
      <c r="H38" s="1290"/>
      <c r="I38" s="1290"/>
      <c r="J38" s="1290"/>
      <c r="K38" s="1290"/>
      <c r="L38" s="1290"/>
      <c r="M38" s="1290"/>
      <c r="N38" s="1290"/>
      <c r="O38" s="1290"/>
      <c r="P38" s="1290"/>
      <c r="Q38" s="1290"/>
      <c r="R38" s="1290"/>
      <c r="S38" s="1290"/>
      <c r="T38" s="1290"/>
      <c r="U38" s="1290"/>
      <c r="V38" s="1290"/>
      <c r="W38" s="1290"/>
      <c r="X38" s="1290"/>
      <c r="Y38" s="1290"/>
      <c r="Z38" s="1290"/>
      <c r="AA38" s="179"/>
    </row>
    <row r="39" spans="1:27" x14ac:dyDescent="0.35">
      <c r="A39" s="1291"/>
      <c r="B39" s="1290"/>
      <c r="C39" s="1290"/>
      <c r="D39" s="1290"/>
      <c r="E39" s="1290"/>
      <c r="F39" s="1290"/>
      <c r="G39" s="1290"/>
      <c r="H39" s="1290"/>
      <c r="I39" s="1290"/>
      <c r="J39" s="1290"/>
      <c r="K39" s="1290"/>
      <c r="L39" s="1290"/>
      <c r="M39" s="1290"/>
      <c r="N39" s="1290"/>
      <c r="O39" s="1290"/>
      <c r="P39" s="1290"/>
      <c r="Q39" s="1290"/>
      <c r="R39" s="1290"/>
      <c r="S39" s="1290"/>
      <c r="T39" s="1290"/>
      <c r="U39" s="1290"/>
      <c r="V39" s="1290"/>
      <c r="W39" s="1290"/>
      <c r="X39" s="1290"/>
      <c r="Y39" s="1290"/>
      <c r="Z39" s="1290"/>
      <c r="AA39" s="179"/>
    </row>
    <row r="40" spans="1:27" x14ac:dyDescent="0.35">
      <c r="A40" s="1291"/>
      <c r="B40" s="1290"/>
      <c r="C40" s="1290"/>
      <c r="D40" s="1290"/>
      <c r="E40" s="1290"/>
      <c r="F40" s="1290"/>
      <c r="G40" s="1290"/>
      <c r="H40" s="1290"/>
      <c r="I40" s="1290"/>
      <c r="J40" s="1290"/>
      <c r="K40" s="1290"/>
      <c r="L40" s="1290"/>
      <c r="M40" s="1290"/>
      <c r="N40" s="1290"/>
      <c r="O40" s="1290"/>
      <c r="P40" s="1290"/>
      <c r="Q40" s="1290"/>
      <c r="R40" s="1290"/>
      <c r="S40" s="1290"/>
      <c r="T40" s="1290"/>
      <c r="U40" s="1290"/>
      <c r="V40" s="1290"/>
      <c r="W40" s="1290"/>
      <c r="X40" s="1290"/>
      <c r="Y40" s="1290"/>
      <c r="Z40" s="1290"/>
      <c r="AA40" s="179"/>
    </row>
    <row r="41" spans="1:27" x14ac:dyDescent="0.35">
      <c r="A41" s="1291"/>
      <c r="B41" s="1290"/>
      <c r="C41" s="1290"/>
      <c r="D41" s="1290"/>
      <c r="E41" s="1290"/>
      <c r="F41" s="1290"/>
      <c r="G41" s="1290"/>
      <c r="H41" s="1290"/>
      <c r="I41" s="1290"/>
      <c r="J41" s="1290"/>
      <c r="K41" s="1290"/>
      <c r="L41" s="1290"/>
      <c r="M41" s="1290"/>
      <c r="N41" s="1290"/>
      <c r="O41" s="1290"/>
      <c r="P41" s="1290"/>
      <c r="Q41" s="1290"/>
      <c r="R41" s="1290"/>
      <c r="S41" s="1290"/>
      <c r="T41" s="1290"/>
      <c r="U41" s="1290"/>
      <c r="V41" s="1290"/>
      <c r="W41" s="1290"/>
      <c r="X41" s="1290"/>
      <c r="Y41" s="1290"/>
      <c r="Z41" s="1290"/>
      <c r="AA41" s="179"/>
    </row>
    <row r="42" spans="1:27" x14ac:dyDescent="0.35">
      <c r="A42" s="1291"/>
      <c r="B42" s="1290"/>
      <c r="C42" s="1290"/>
      <c r="D42" s="1290"/>
      <c r="E42" s="1290"/>
      <c r="F42" s="1290"/>
      <c r="G42" s="1290"/>
      <c r="H42" s="1290"/>
      <c r="I42" s="1290"/>
      <c r="J42" s="1290"/>
      <c r="K42" s="1290"/>
      <c r="L42" s="1290"/>
      <c r="M42" s="1290"/>
      <c r="N42" s="1290"/>
      <c r="O42" s="1290"/>
      <c r="P42" s="1290"/>
      <c r="Q42" s="1290"/>
      <c r="R42" s="1290"/>
      <c r="S42" s="1290"/>
      <c r="T42" s="1290"/>
      <c r="U42" s="1290"/>
      <c r="V42" s="1290"/>
      <c r="W42" s="1290"/>
      <c r="X42" s="1290"/>
      <c r="Y42" s="1290"/>
      <c r="Z42" s="1290"/>
      <c r="AA42" s="179"/>
    </row>
    <row r="43" spans="1:27" x14ac:dyDescent="0.35">
      <c r="A43" s="1291"/>
      <c r="B43" s="1290"/>
      <c r="C43" s="1290"/>
      <c r="D43" s="1290"/>
      <c r="E43" s="1290"/>
      <c r="F43" s="1290"/>
      <c r="G43" s="1290"/>
      <c r="H43" s="1290"/>
      <c r="I43" s="1290"/>
      <c r="J43" s="1290"/>
      <c r="K43" s="1290"/>
      <c r="L43" s="1290"/>
      <c r="M43" s="1290"/>
      <c r="N43" s="1290"/>
      <c r="O43" s="1290"/>
      <c r="P43" s="1290"/>
      <c r="Q43" s="1290"/>
      <c r="R43" s="1290"/>
      <c r="S43" s="1290"/>
      <c r="T43" s="1290"/>
      <c r="U43" s="1290"/>
      <c r="V43" s="1290"/>
      <c r="W43" s="1290"/>
      <c r="X43" s="1290"/>
      <c r="Y43" s="1290"/>
      <c r="Z43" s="1290"/>
      <c r="AA43" s="179"/>
    </row>
    <row r="44" spans="1:27" x14ac:dyDescent="0.35">
      <c r="B44" s="371"/>
      <c r="C44" s="38"/>
    </row>
    <row r="45" spans="1:27" ht="15" thickBot="1" x14ac:dyDescent="0.4">
      <c r="B45" s="371"/>
      <c r="C45" s="38"/>
    </row>
    <row r="46" spans="1:27" ht="15" hidden="1" thickBot="1" x14ac:dyDescent="0.4">
      <c r="A46" s="1104" t="s">
        <v>1131</v>
      </c>
      <c r="B46" s="1289">
        <f>'Datos CE e Socios'!$B9*1000*(1/12)*'Datos Socios'!$F$17</f>
        <v>1860.8333333333333</v>
      </c>
      <c r="C46" s="1289">
        <f>'Datos CE e Socios'!$B9*1000*(1/12)*'Datos Socios'!$F$17</f>
        <v>1860.8333333333333</v>
      </c>
      <c r="D46" s="1289">
        <f>'Datos CE e Socios'!$B9*1000*(1/12)*'Datos Socios'!$F$17</f>
        <v>1860.8333333333333</v>
      </c>
      <c r="E46" s="1289">
        <f>'Datos CE e Socios'!$B9*1000*(1/12)*'Datos Socios'!$F$17</f>
        <v>1860.8333333333333</v>
      </c>
      <c r="F46" s="1289">
        <f>'Datos CE e Socios'!$B9*1000*(1/12)*'Datos Socios'!$F$17</f>
        <v>1860.8333333333333</v>
      </c>
      <c r="G46" s="1289">
        <f>'Datos CE e Socios'!$B9*1000*(1/12)*'Datos Socios'!$F$17</f>
        <v>1860.8333333333333</v>
      </c>
      <c r="H46" s="1289">
        <f>'Datos CE e Socios'!$B9*1000*(1/12)*'Datos Socios'!$F$17</f>
        <v>1860.8333333333333</v>
      </c>
      <c r="I46" s="1289">
        <f>'Datos CE e Socios'!$B9*1000*(1/12)*'Datos Socios'!$F$17</f>
        <v>1860.8333333333333</v>
      </c>
      <c r="J46" s="1289">
        <f>'Datos CE e Socios'!$B9*1000*(1/12)*'Datos Socios'!$F$17</f>
        <v>1860.8333333333333</v>
      </c>
      <c r="K46" s="1289">
        <f>'Datos CE e Socios'!$B9*1000*(1/12)*'Datos Socios'!$F$17</f>
        <v>1860.8333333333333</v>
      </c>
      <c r="L46" s="1289">
        <f>'Datos CE e Socios'!$B9*1000*(1/12)*'Datos Socios'!$F$17</f>
        <v>1860.8333333333333</v>
      </c>
      <c r="M46" s="1289">
        <f>'Datos CE e Socios'!$B9*1000*(1/12)*'Datos Socios'!$F$17</f>
        <v>1860.8333333333333</v>
      </c>
      <c r="N46" s="1289">
        <f>'Datos CE e Socios'!$B9*1000*(1/12)*'Datos Socios'!$F$17</f>
        <v>1860.8333333333333</v>
      </c>
      <c r="O46" s="1289">
        <f>'Datos CE e Socios'!$B9*1000*(1/12)*'Datos Socios'!$F$17</f>
        <v>1860.8333333333333</v>
      </c>
      <c r="P46" s="1289">
        <f>'Datos CE e Socios'!$B9*1000*(1/12)*'Datos Socios'!$F$17</f>
        <v>1860.8333333333333</v>
      </c>
      <c r="Q46" s="1289">
        <f>'Datos CE e Socios'!$B9*1000*(1/12)*'Datos Socios'!$F$17</f>
        <v>1860.8333333333333</v>
      </c>
      <c r="R46" s="1289">
        <f>'Datos CE e Socios'!$B9*1000*(1/12)*'Datos Socios'!$F$17</f>
        <v>1860.8333333333333</v>
      </c>
      <c r="S46" s="1289">
        <f>'Datos CE e Socios'!$B9*1000*(1/12)*'Datos Socios'!$F$17</f>
        <v>1860.8333333333333</v>
      </c>
      <c r="T46" s="1289">
        <f>'Datos CE e Socios'!$B9*1000*(1/12)*'Datos Socios'!$F$17</f>
        <v>1860.8333333333333</v>
      </c>
      <c r="U46" s="1289">
        <f>'Datos CE e Socios'!$B9*1000*(1/12)*'Datos Socios'!$F$17</f>
        <v>1860.8333333333333</v>
      </c>
      <c r="V46" s="1289">
        <f>'Datos CE e Socios'!$B9*1000*(1/12)*'Datos Socios'!$F$17</f>
        <v>1860.8333333333333</v>
      </c>
      <c r="W46" s="1289">
        <f>'Datos CE e Socios'!$B9*1000*(1/12)*'Datos Socios'!$F$17</f>
        <v>1860.8333333333333</v>
      </c>
      <c r="X46" s="1289">
        <f>'Datos CE e Socios'!$B9*1000*(1/12)*'Datos Socios'!$F$17</f>
        <v>1860.8333333333333</v>
      </c>
      <c r="Y46" s="1289">
        <f>'Datos CE e Socios'!$B9*1000*(1/12)*'Datos Socios'!$F$17</f>
        <v>1860.8333333333333</v>
      </c>
      <c r="Z46" s="1289">
        <f>'Datos CE e Socios'!$B9*1000*(1/12)*'Datos Socios'!$F$17</f>
        <v>1860.8333333333333</v>
      </c>
      <c r="AA46" s="1288">
        <f>'Datos CE e Socios'!$B9*1000*(1/12)</f>
        <v>3721.6666666666665</v>
      </c>
    </row>
    <row r="47" spans="1:27" ht="15" hidden="1" thickBot="1" x14ac:dyDescent="0.4">
      <c r="A47" s="1104" t="s">
        <v>1130</v>
      </c>
      <c r="B47" s="1289">
        <f>'Datos CE e Socios'!$B10*1000*(1/12)*'Datos Socios'!$F$17</f>
        <v>1860.8333333333333</v>
      </c>
      <c r="C47" s="1289">
        <f>'Datos CE e Socios'!$B10*1000*(1/12)*'Datos Socios'!$F$17</f>
        <v>1860.8333333333333</v>
      </c>
      <c r="D47" s="1289">
        <f>'Datos CE e Socios'!$B10*1000*(1/12)*'Datos Socios'!$F$17</f>
        <v>1860.8333333333333</v>
      </c>
      <c r="E47" s="1289">
        <f>'Datos CE e Socios'!$B10*1000*(1/12)*'Datos Socios'!$F$17</f>
        <v>1860.8333333333333</v>
      </c>
      <c r="F47" s="1289">
        <f>'Datos CE e Socios'!$B10*1000*(1/12)*'Datos Socios'!$F$17</f>
        <v>1860.8333333333333</v>
      </c>
      <c r="G47" s="1289">
        <f>'Datos CE e Socios'!$B10*1000*(1/12)*'Datos Socios'!$F$17</f>
        <v>1860.8333333333333</v>
      </c>
      <c r="H47" s="1289">
        <f>'Datos CE e Socios'!$B10*1000*(1/12)*'Datos Socios'!$F$17</f>
        <v>1860.8333333333333</v>
      </c>
      <c r="I47" s="1289">
        <f>'Datos CE e Socios'!$B10*1000*(1/12)*'Datos Socios'!$F$17</f>
        <v>1860.8333333333333</v>
      </c>
      <c r="J47" s="1289">
        <f>'Datos CE e Socios'!$B10*1000*(1/12)*'Datos Socios'!$F$17</f>
        <v>1860.8333333333333</v>
      </c>
      <c r="K47" s="1289">
        <f>'Datos CE e Socios'!$B10*1000*(1/12)*'Datos Socios'!$F$17</f>
        <v>1860.8333333333333</v>
      </c>
      <c r="L47" s="1289">
        <f>'Datos CE e Socios'!$B10*1000*(1/12)*'Datos Socios'!$F$17</f>
        <v>1860.8333333333333</v>
      </c>
      <c r="M47" s="1289">
        <f>'Datos CE e Socios'!$B10*1000*(1/12)*'Datos Socios'!$F$17</f>
        <v>1860.8333333333333</v>
      </c>
      <c r="N47" s="1289">
        <f>'Datos CE e Socios'!$B10*1000*(1/12)*'Datos Socios'!$F$17</f>
        <v>1860.8333333333333</v>
      </c>
      <c r="O47" s="1289">
        <f>'Datos CE e Socios'!$B10*1000*(1/12)*'Datos Socios'!$F$17</f>
        <v>1860.8333333333333</v>
      </c>
      <c r="P47" s="1289">
        <f>'Datos CE e Socios'!$B10*1000*(1/12)*'Datos Socios'!$F$17</f>
        <v>1860.8333333333333</v>
      </c>
      <c r="Q47" s="1289">
        <f>'Datos CE e Socios'!$B10*1000*(1/12)*'Datos Socios'!$F$17</f>
        <v>1860.8333333333333</v>
      </c>
      <c r="R47" s="1289">
        <f>'Datos CE e Socios'!$B10*1000*(1/12)*'Datos Socios'!$F$17</f>
        <v>1860.8333333333333</v>
      </c>
      <c r="S47" s="1289">
        <f>'Datos CE e Socios'!$B10*1000*(1/12)*'Datos Socios'!$F$17</f>
        <v>1860.8333333333333</v>
      </c>
      <c r="T47" s="1289">
        <f>'Datos CE e Socios'!$B10*1000*(1/12)*'Datos Socios'!$F$17</f>
        <v>1860.8333333333333</v>
      </c>
      <c r="U47" s="1289">
        <f>'Datos CE e Socios'!$B10*1000*(1/12)*'Datos Socios'!$F$17</f>
        <v>1860.8333333333333</v>
      </c>
      <c r="V47" s="1289">
        <f>'Datos CE e Socios'!$B10*1000*(1/12)*'Datos Socios'!$F$17</f>
        <v>1860.8333333333333</v>
      </c>
      <c r="W47" s="1289">
        <f>'Datos CE e Socios'!$B10*1000*(1/12)*'Datos Socios'!$F$17</f>
        <v>1860.8333333333333</v>
      </c>
      <c r="X47" s="1289">
        <f>'Datos CE e Socios'!$B10*1000*(1/12)*'Datos Socios'!$F$17</f>
        <v>1860.8333333333333</v>
      </c>
      <c r="Y47" s="1289">
        <f>'Datos CE e Socios'!$B10*1000*(1/12)*'Datos Socios'!$F$17</f>
        <v>1860.8333333333333</v>
      </c>
      <c r="Z47" s="1289">
        <f>'Datos CE e Socios'!$B10*1000*(1/12)*'Datos Socios'!$F$17</f>
        <v>1860.8333333333333</v>
      </c>
      <c r="AA47" s="1288">
        <f>'Datos CE e Socios'!$B10*1000*(1/12)</f>
        <v>3721.6666666666665</v>
      </c>
    </row>
    <row r="48" spans="1:27" ht="15" hidden="1" thickBot="1" x14ac:dyDescent="0.4">
      <c r="A48" s="1104" t="s">
        <v>1129</v>
      </c>
      <c r="B48" s="1289">
        <f>'Datos CE e Socios'!$B11*1000*(1/12)*'Datos Socios'!$F$17</f>
        <v>0</v>
      </c>
      <c r="C48" s="1289">
        <f>'Datos CE e Socios'!$B11*1000*(1/12)*'Datos Socios'!$F$17</f>
        <v>0</v>
      </c>
      <c r="D48" s="1289">
        <f>'Datos CE e Socios'!$B11*1000*(1/12)*'Datos Socios'!$F$17</f>
        <v>0</v>
      </c>
      <c r="E48" s="1289">
        <f>'Datos CE e Socios'!$B11*1000*(1/12)*'Datos Socios'!$F$17</f>
        <v>0</v>
      </c>
      <c r="F48" s="1289">
        <f>'Datos CE e Socios'!$B11*1000*(1/12)*'Datos Socios'!$F$17</f>
        <v>0</v>
      </c>
      <c r="G48" s="1289">
        <f>'Datos CE e Socios'!$B11*1000*(1/12)*'Datos Socios'!$F$17</f>
        <v>0</v>
      </c>
      <c r="H48" s="1289">
        <f>'Datos CE e Socios'!$B11*1000*(1/12)*'Datos Socios'!$F$17</f>
        <v>0</v>
      </c>
      <c r="I48" s="1289">
        <f>'Datos CE e Socios'!$B11*1000*(1/12)*'Datos Socios'!$F$17</f>
        <v>0</v>
      </c>
      <c r="J48" s="1289">
        <f>'Datos CE e Socios'!$B11*1000*(1/12)*'Datos Socios'!$F$17</f>
        <v>0</v>
      </c>
      <c r="K48" s="1289">
        <f>'Datos CE e Socios'!$B11*1000*(1/12)*'Datos Socios'!$F$17</f>
        <v>0</v>
      </c>
      <c r="L48" s="1289">
        <f>'Datos CE e Socios'!$B11*1000*(1/12)*'Datos Socios'!$F$17</f>
        <v>0</v>
      </c>
      <c r="M48" s="1289">
        <f>'Datos CE e Socios'!$B11*1000*(1/12)*'Datos Socios'!$F$17</f>
        <v>0</v>
      </c>
      <c r="N48" s="1289">
        <f>'Datos CE e Socios'!$B11*1000*(1/12)*'Datos Socios'!$F$17</f>
        <v>0</v>
      </c>
      <c r="O48" s="1289">
        <f>'Datos CE e Socios'!$B11*1000*(1/12)*'Datos Socios'!$F$17</f>
        <v>0</v>
      </c>
      <c r="P48" s="1289">
        <f>'Datos CE e Socios'!$B11*1000*(1/12)*'Datos Socios'!$F$17</f>
        <v>0</v>
      </c>
      <c r="Q48" s="1289">
        <f>'Datos CE e Socios'!$B11*1000*(1/12)*'Datos Socios'!$F$17</f>
        <v>0</v>
      </c>
      <c r="R48" s="1289">
        <f>'Datos CE e Socios'!$B11*1000*(1/12)*'Datos Socios'!$F$17</f>
        <v>0</v>
      </c>
      <c r="S48" s="1289">
        <f>'Datos CE e Socios'!$B11*1000*(1/12)*'Datos Socios'!$F$17</f>
        <v>0</v>
      </c>
      <c r="T48" s="1289">
        <f>'Datos CE e Socios'!$B11*1000*(1/12)*'Datos Socios'!$F$17</f>
        <v>0</v>
      </c>
      <c r="U48" s="1289">
        <f>'Datos CE e Socios'!$B11*1000*(1/12)*'Datos Socios'!$F$17</f>
        <v>0</v>
      </c>
      <c r="V48" s="1289">
        <f>'Datos CE e Socios'!$B11*1000*(1/12)*'Datos Socios'!$F$17</f>
        <v>0</v>
      </c>
      <c r="W48" s="1289">
        <f>'Datos CE e Socios'!$B11*1000*(1/12)*'Datos Socios'!$F$17</f>
        <v>0</v>
      </c>
      <c r="X48" s="1289">
        <f>'Datos CE e Socios'!$B11*1000*(1/12)*'Datos Socios'!$F$17</f>
        <v>0</v>
      </c>
      <c r="Y48" s="1289">
        <f>'Datos CE e Socios'!$B11*1000*(1/12)*'Datos Socios'!$F$17</f>
        <v>0</v>
      </c>
      <c r="Z48" s="1289">
        <f>'Datos CE e Socios'!$B11*1000*(1/12)*'Datos Socios'!$F$17</f>
        <v>0</v>
      </c>
      <c r="AA48" s="1288">
        <f>'Datos CE e Socios'!$B11*1000*(1/12)</f>
        <v>0</v>
      </c>
    </row>
    <row r="49" spans="1:28" ht="15" hidden="1" thickBot="1" x14ac:dyDescent="0.4">
      <c r="A49" s="1104" t="s">
        <v>1164</v>
      </c>
      <c r="B49" s="1273">
        <f t="shared" ref="B49:AA49" si="8">SUM(B46:B48)</f>
        <v>3721.6666666666665</v>
      </c>
      <c r="C49" s="1270">
        <f t="shared" si="8"/>
        <v>3721.6666666666665</v>
      </c>
      <c r="D49" s="1270">
        <f t="shared" si="8"/>
        <v>3721.6666666666665</v>
      </c>
      <c r="E49" s="1270">
        <f t="shared" si="8"/>
        <v>3721.6666666666665</v>
      </c>
      <c r="F49" s="1270">
        <f t="shared" si="8"/>
        <v>3721.6666666666665</v>
      </c>
      <c r="G49" s="1270">
        <f t="shared" si="8"/>
        <v>3721.6666666666665</v>
      </c>
      <c r="H49" s="1270">
        <f t="shared" si="8"/>
        <v>3721.6666666666665</v>
      </c>
      <c r="I49" s="1270">
        <f t="shared" si="8"/>
        <v>3721.6666666666665</v>
      </c>
      <c r="J49" s="1270">
        <f t="shared" si="8"/>
        <v>3721.6666666666665</v>
      </c>
      <c r="K49" s="1270">
        <f t="shared" si="8"/>
        <v>3721.6666666666665</v>
      </c>
      <c r="L49" s="1270">
        <f t="shared" si="8"/>
        <v>3721.6666666666665</v>
      </c>
      <c r="M49" s="1270">
        <f t="shared" si="8"/>
        <v>3721.6666666666665</v>
      </c>
      <c r="N49" s="1270">
        <f t="shared" si="8"/>
        <v>3721.6666666666665</v>
      </c>
      <c r="O49" s="1270">
        <f t="shared" si="8"/>
        <v>3721.6666666666665</v>
      </c>
      <c r="P49" s="1270">
        <f t="shared" si="8"/>
        <v>3721.6666666666665</v>
      </c>
      <c r="Q49" s="1270">
        <f t="shared" si="8"/>
        <v>3721.6666666666665</v>
      </c>
      <c r="R49" s="1270">
        <f t="shared" si="8"/>
        <v>3721.6666666666665</v>
      </c>
      <c r="S49" s="1270">
        <f t="shared" si="8"/>
        <v>3721.6666666666665</v>
      </c>
      <c r="T49" s="1270">
        <f t="shared" si="8"/>
        <v>3721.6666666666665</v>
      </c>
      <c r="U49" s="1270">
        <f t="shared" si="8"/>
        <v>3721.6666666666665</v>
      </c>
      <c r="V49" s="1270">
        <f t="shared" si="8"/>
        <v>3721.6666666666665</v>
      </c>
      <c r="W49" s="1270">
        <f t="shared" si="8"/>
        <v>3721.6666666666665</v>
      </c>
      <c r="X49" s="1270">
        <f t="shared" si="8"/>
        <v>3721.6666666666665</v>
      </c>
      <c r="Y49" s="1270">
        <f t="shared" si="8"/>
        <v>3721.6666666666665</v>
      </c>
      <c r="Z49" s="1287">
        <f t="shared" si="8"/>
        <v>3721.6666666666665</v>
      </c>
      <c r="AA49" s="1047">
        <f t="shared" si="8"/>
        <v>7443.333333333333</v>
      </c>
    </row>
    <row r="50" spans="1:28" ht="15" thickBot="1" x14ac:dyDescent="0.4">
      <c r="AB50" s="1286" t="s">
        <v>1163</v>
      </c>
    </row>
    <row r="51" spans="1:28" ht="15" thickBot="1" x14ac:dyDescent="0.4">
      <c r="A51" s="615" t="s">
        <v>1124</v>
      </c>
      <c r="B51" s="934">
        <f ca="1">(INDEX('Datos Socios'!$B$2:$B$27,'Factura Socios Con CE'!B2))</f>
        <v>156</v>
      </c>
      <c r="C51" s="615">
        <f ca="1">(INDEX('Datos Socios'!$B$2:$B$27,'Factura Socios Con CE'!C2))</f>
        <v>130</v>
      </c>
      <c r="D51" s="615">
        <f ca="1">(INDEX('Datos Socios'!$B$2:$B$27,'Factura Socios Con CE'!D2))</f>
        <v>434</v>
      </c>
      <c r="E51" s="615">
        <f ca="1">(INDEX('Datos Socios'!$B$2:$B$27,'Factura Socios Con CE'!E2))</f>
        <v>334</v>
      </c>
      <c r="F51" s="615">
        <f ca="1">(INDEX('Datos Socios'!$B$2:$B$27,'Factura Socios Con CE'!F2))</f>
        <v>246</v>
      </c>
      <c r="G51" s="615">
        <f ca="1">(INDEX('Datos Socios'!$B$2:$B$27,'Factura Socios Con CE'!G2))</f>
        <v>518</v>
      </c>
      <c r="H51" s="615">
        <f ca="1">(INDEX('Datos Socios'!$B$2:$B$27,'Factura Socios Con CE'!H2))</f>
        <v>232</v>
      </c>
      <c r="I51" s="615">
        <f ca="1">(INDEX('Datos Socios'!$B$2:$B$27,'Factura Socios Con CE'!I2))</f>
        <v>207</v>
      </c>
      <c r="J51" s="615">
        <f ca="1">(INDEX('Datos Socios'!$B$2:$B$27,'Factura Socios Con CE'!J2))</f>
        <v>139</v>
      </c>
      <c r="K51" s="615">
        <f ca="1">(INDEX('Datos Socios'!$B$2:$B$27,'Factura Socios Con CE'!K2))</f>
        <v>296</v>
      </c>
      <c r="L51" s="615">
        <f ca="1">(INDEX('Datos Socios'!$B$2:$B$27,'Factura Socios Con CE'!L2))</f>
        <v>120</v>
      </c>
      <c r="M51" s="615">
        <f ca="1">(INDEX('Datos Socios'!$B$2:$B$27,'Factura Socios Con CE'!M2))</f>
        <v>281</v>
      </c>
      <c r="N51" s="615">
        <f ca="1">(INDEX('Datos Socios'!$B$2:$B$27,'Factura Socios Con CE'!N2))</f>
        <v>79</v>
      </c>
      <c r="O51" s="615">
        <f ca="1">(INDEX('Datos Socios'!$B$2:$B$27,'Factura Socios Con CE'!O2))</f>
        <v>195</v>
      </c>
      <c r="P51" s="615">
        <f ca="1">(INDEX('Datos Socios'!$B$2:$B$27,'Factura Socios Con CE'!P2))</f>
        <v>297</v>
      </c>
      <c r="Q51" s="615">
        <f ca="1">(INDEX('Datos Socios'!$B$2:$B$27,'Factura Socios Con CE'!Q2))</f>
        <v>525</v>
      </c>
      <c r="R51" s="615">
        <f ca="1">(INDEX('Datos Socios'!$B$2:$B$27,'Factura Socios Con CE'!R2))</f>
        <v>485</v>
      </c>
      <c r="S51" s="615">
        <f ca="1">(INDEX('Datos Socios'!$B$2:$B$27,'Factura Socios Con CE'!S2))</f>
        <v>331</v>
      </c>
      <c r="T51" s="615">
        <f ca="1">(INDEX('Datos Socios'!$B$2:$B$27,'Factura Socios Con CE'!T2))</f>
        <v>142</v>
      </c>
      <c r="U51" s="615">
        <f ca="1">(INDEX('Datos Socios'!$B$2:$B$27,'Factura Socios Con CE'!U2))</f>
        <v>315</v>
      </c>
      <c r="V51" s="615">
        <f ca="1">(INDEX('Datos Socios'!$B$2:$B$27,'Factura Socios Con CE'!V2))</f>
        <v>180</v>
      </c>
      <c r="W51" s="615">
        <f ca="1">(INDEX('Datos Socios'!$B$2:$B$27,'Factura Socios Con CE'!W2))</f>
        <v>149</v>
      </c>
      <c r="X51" s="615">
        <f ca="1">(INDEX('Datos Socios'!$B$2:$B$27,'Factura Socios Con CE'!X2))</f>
        <v>322</v>
      </c>
      <c r="Y51" s="615">
        <f ca="1">(INDEX('Datos Socios'!$B$2:$B$27,'Factura Socios Con CE'!Y2))</f>
        <v>295</v>
      </c>
      <c r="Z51" s="938">
        <f ca="1">(INDEX('Datos Socios'!$B$2:$B$27,'Factura Socios Con CE'!Z2))</f>
        <v>79</v>
      </c>
      <c r="AA51" s="1285">
        <f t="shared" ref="AA51:AA56" ca="1" si="9">SUM(B51:Z51)</f>
        <v>6487</v>
      </c>
      <c r="AB51" s="1284"/>
    </row>
    <row r="52" spans="1:28" x14ac:dyDescent="0.35">
      <c r="A52" t="s">
        <v>1123</v>
      </c>
      <c r="B52" s="1283">
        <f ca="1">B$55*'Hipóteses xerais (2)'!$C26</f>
        <v>78</v>
      </c>
      <c r="C52" s="1283">
        <f ca="1">C$55*'Hipóteses xerais (2)'!$C26</f>
        <v>65</v>
      </c>
      <c r="D52" s="1180">
        <f ca="1">D$55*'Hipóteses xerais (2)'!$C26</f>
        <v>217</v>
      </c>
      <c r="E52" s="1180">
        <f ca="1">E$55*'Hipóteses xerais (2)'!$C26</f>
        <v>167</v>
      </c>
      <c r="F52" s="1180">
        <f ca="1">F$55*'Hipóteses xerais (2)'!$C26</f>
        <v>123</v>
      </c>
      <c r="G52" s="1180">
        <f ca="1">G$55*'Hipóteses xerais (2)'!$C26</f>
        <v>259</v>
      </c>
      <c r="H52" s="1180">
        <f ca="1">H$55*'Hipóteses xerais (2)'!$C26</f>
        <v>116</v>
      </c>
      <c r="I52" s="1180">
        <f ca="1">I$55*'Hipóteses xerais (2)'!$C26</f>
        <v>103.5</v>
      </c>
      <c r="J52" s="1180">
        <f ca="1">J$55*'Hipóteses xerais (2)'!$C26</f>
        <v>69.5</v>
      </c>
      <c r="K52" s="1180">
        <f ca="1">K$55*'Hipóteses xerais (2)'!$C26</f>
        <v>148</v>
      </c>
      <c r="L52" s="1180">
        <f ca="1">L$55*'Hipóteses xerais (2)'!$C26</f>
        <v>60</v>
      </c>
      <c r="M52" s="1180">
        <f ca="1">M$55*'Hipóteses xerais (2)'!$C26</f>
        <v>140.5</v>
      </c>
      <c r="N52" s="1180">
        <f ca="1">N$55*'Hipóteses xerais (2)'!$C26</f>
        <v>39.5</v>
      </c>
      <c r="O52" s="1180">
        <f ca="1">O$55*'Hipóteses xerais (2)'!$C26</f>
        <v>97.5</v>
      </c>
      <c r="P52" s="1180">
        <f ca="1">P$55*'Hipóteses xerais (2)'!$C26</f>
        <v>148.5</v>
      </c>
      <c r="Q52" s="1180">
        <f ca="1">Q$55*'Hipóteses xerais (2)'!$C26</f>
        <v>262.5</v>
      </c>
      <c r="R52" s="1180">
        <f ca="1">R$55*'Hipóteses xerais (2)'!$C26</f>
        <v>242.5</v>
      </c>
      <c r="S52" s="1180">
        <f ca="1">S$55*'Hipóteses xerais (2)'!$C26</f>
        <v>165.5</v>
      </c>
      <c r="T52" s="1180">
        <f ca="1">T$55*'Hipóteses xerais (2)'!$C26</f>
        <v>71</v>
      </c>
      <c r="U52" s="1180">
        <f ca="1">U$55*'Hipóteses xerais (2)'!$C26</f>
        <v>157.5</v>
      </c>
      <c r="V52" s="1180">
        <f ca="1">V$55*'Hipóteses xerais (2)'!$C26</f>
        <v>90</v>
      </c>
      <c r="W52" s="1180">
        <f ca="1">W$55*'Hipóteses xerais (2)'!$C26</f>
        <v>74.5</v>
      </c>
      <c r="X52" s="1180">
        <f ca="1">X$55*'Hipóteses xerais (2)'!$C26</f>
        <v>161</v>
      </c>
      <c r="Y52" s="1180">
        <f ca="1">Y$55*'Hipóteses xerais (2)'!$C26</f>
        <v>147.5</v>
      </c>
      <c r="Z52" s="1180">
        <f ca="1">Z$55*'Hipóteses xerais (2)'!$C26</f>
        <v>39.5</v>
      </c>
      <c r="AA52" s="1180">
        <f t="shared" ca="1" si="9"/>
        <v>3243.5</v>
      </c>
      <c r="AB52" s="1282">
        <f>B33</f>
        <v>3721.6666666666661</v>
      </c>
    </row>
    <row r="53" spans="1:28" x14ac:dyDescent="0.35">
      <c r="A53" t="s">
        <v>1122</v>
      </c>
      <c r="B53" s="1283">
        <f ca="1">B$55*'Hipóteses xerais (2)'!$C27</f>
        <v>78</v>
      </c>
      <c r="C53" s="1283">
        <f ca="1">C$55*'Hipóteses xerais (2)'!$C27</f>
        <v>65</v>
      </c>
      <c r="D53" s="1180">
        <f ca="1">D$55*'Hipóteses xerais (2)'!$C27</f>
        <v>217</v>
      </c>
      <c r="E53" s="1180">
        <f ca="1">E$55*'Hipóteses xerais (2)'!$C27</f>
        <v>167</v>
      </c>
      <c r="F53" s="1180">
        <f ca="1">F$55*'Hipóteses xerais (2)'!$C27</f>
        <v>123</v>
      </c>
      <c r="G53" s="1180">
        <f ca="1">G$55*'Hipóteses xerais (2)'!$C27</f>
        <v>259</v>
      </c>
      <c r="H53" s="1180">
        <f ca="1">H$55*'Hipóteses xerais (2)'!$C27</f>
        <v>116</v>
      </c>
      <c r="I53" s="1180">
        <f ca="1">I$55*'Hipóteses xerais (2)'!$C27</f>
        <v>103.5</v>
      </c>
      <c r="J53" s="1180">
        <f ca="1">J$55*'Hipóteses xerais (2)'!$C27</f>
        <v>69.5</v>
      </c>
      <c r="K53" s="1180">
        <f ca="1">K$55*'Hipóteses xerais (2)'!$C27</f>
        <v>148</v>
      </c>
      <c r="L53" s="1180">
        <f ca="1">L$55*'Hipóteses xerais (2)'!$C27</f>
        <v>60</v>
      </c>
      <c r="M53" s="1180">
        <f ca="1">M$55*'Hipóteses xerais (2)'!$C27</f>
        <v>140.5</v>
      </c>
      <c r="N53" s="1180">
        <f ca="1">N$55*'Hipóteses xerais (2)'!$C27</f>
        <v>39.5</v>
      </c>
      <c r="O53" s="1180">
        <f ca="1">O$55*'Hipóteses xerais (2)'!$C27</f>
        <v>97.5</v>
      </c>
      <c r="P53" s="1180">
        <f ca="1">P$55*'Hipóteses xerais (2)'!$C27</f>
        <v>148.5</v>
      </c>
      <c r="Q53" s="1180">
        <f ca="1">Q$55*'Hipóteses xerais (2)'!$C27</f>
        <v>262.5</v>
      </c>
      <c r="R53" s="1180">
        <f ca="1">R$55*'Hipóteses xerais (2)'!$C27</f>
        <v>242.5</v>
      </c>
      <c r="S53" s="1180">
        <f ca="1">S$55*'Hipóteses xerais (2)'!$C27</f>
        <v>165.5</v>
      </c>
      <c r="T53" s="1180">
        <f ca="1">T$55*'Hipóteses xerais (2)'!$C27</f>
        <v>71</v>
      </c>
      <c r="U53" s="1180">
        <f ca="1">U$55*'Hipóteses xerais (2)'!$C27</f>
        <v>157.5</v>
      </c>
      <c r="V53" s="1180">
        <f ca="1">V$55*'Hipóteses xerais (2)'!$C27</f>
        <v>90</v>
      </c>
      <c r="W53" s="1180">
        <f ca="1">W$55*'Hipóteses xerais (2)'!$C27</f>
        <v>74.5</v>
      </c>
      <c r="X53" s="1180">
        <f ca="1">X$55*'Hipóteses xerais (2)'!$C27</f>
        <v>161</v>
      </c>
      <c r="Y53" s="1180">
        <f ca="1">Y$55*'Hipóteses xerais (2)'!$C27</f>
        <v>147.5</v>
      </c>
      <c r="Z53" s="1180">
        <f ca="1">Z$55*'Hipóteses xerais (2)'!$C27</f>
        <v>39.5</v>
      </c>
      <c r="AA53" s="1180">
        <f t="shared" ca="1" si="9"/>
        <v>3243.5</v>
      </c>
      <c r="AB53" s="1282">
        <f>B34</f>
        <v>3721.6666666666661</v>
      </c>
    </row>
    <row r="54" spans="1:28" x14ac:dyDescent="0.35">
      <c r="A54" t="s">
        <v>1121</v>
      </c>
      <c r="B54" s="1283">
        <f ca="1">B$55*'Hipóteses xerais (2)'!$C28</f>
        <v>0</v>
      </c>
      <c r="C54" s="1283">
        <f ca="1">C$55*'Hipóteses xerais (2)'!$C28</f>
        <v>0</v>
      </c>
      <c r="D54" s="1180">
        <f ca="1">D$55*'Hipóteses xerais (2)'!$C28</f>
        <v>0</v>
      </c>
      <c r="E54" s="1180">
        <f ca="1">E$55*'Hipóteses xerais (2)'!$C28</f>
        <v>0</v>
      </c>
      <c r="F54" s="1180">
        <f ca="1">F$55*'Hipóteses xerais (2)'!$C28</f>
        <v>0</v>
      </c>
      <c r="G54" s="1180">
        <f ca="1">G$55*'Hipóteses xerais (2)'!$C28</f>
        <v>0</v>
      </c>
      <c r="H54" s="1180">
        <f ca="1">H$55*'Hipóteses xerais (2)'!$C28</f>
        <v>0</v>
      </c>
      <c r="I54" s="1180">
        <f ca="1">I$55*'Hipóteses xerais (2)'!$C28</f>
        <v>0</v>
      </c>
      <c r="J54" s="1180">
        <f ca="1">J$55*'Hipóteses xerais (2)'!$C28</f>
        <v>0</v>
      </c>
      <c r="K54" s="1180">
        <f ca="1">K$55*'Hipóteses xerais (2)'!$C28</f>
        <v>0</v>
      </c>
      <c r="L54" s="1180">
        <f ca="1">L$55*'Hipóteses xerais (2)'!$C28</f>
        <v>0</v>
      </c>
      <c r="M54" s="1180">
        <f ca="1">M$55*'Hipóteses xerais (2)'!$C28</f>
        <v>0</v>
      </c>
      <c r="N54" s="1180">
        <f ca="1">N$55*'Hipóteses xerais (2)'!$C28</f>
        <v>0</v>
      </c>
      <c r="O54" s="1180">
        <f ca="1">O$55*'Hipóteses xerais (2)'!$C28</f>
        <v>0</v>
      </c>
      <c r="P54" s="1180">
        <f ca="1">P$55*'Hipóteses xerais (2)'!$C28</f>
        <v>0</v>
      </c>
      <c r="Q54" s="1180">
        <f ca="1">Q$55*'Hipóteses xerais (2)'!$C28</f>
        <v>0</v>
      </c>
      <c r="R54" s="1180">
        <f ca="1">R$55*'Hipóteses xerais (2)'!$C28</f>
        <v>0</v>
      </c>
      <c r="S54" s="1180">
        <f ca="1">S$55*'Hipóteses xerais (2)'!$C28</f>
        <v>0</v>
      </c>
      <c r="T54" s="1180">
        <f ca="1">T$55*'Hipóteses xerais (2)'!$C28</f>
        <v>0</v>
      </c>
      <c r="U54" s="1180">
        <f ca="1">U$55*'Hipóteses xerais (2)'!$C28</f>
        <v>0</v>
      </c>
      <c r="V54" s="1180">
        <f ca="1">V$55*'Hipóteses xerais (2)'!$C28</f>
        <v>0</v>
      </c>
      <c r="W54" s="1180">
        <f ca="1">W$55*'Hipóteses xerais (2)'!$C28</f>
        <v>0</v>
      </c>
      <c r="X54" s="1180">
        <f ca="1">X$55*'Hipóteses xerais (2)'!$C28</f>
        <v>0</v>
      </c>
      <c r="Y54" s="1180">
        <f ca="1">Y$55*'Hipóteses xerais (2)'!$C28</f>
        <v>0</v>
      </c>
      <c r="Z54" s="1180">
        <f ca="1">Z$55*'Hipóteses xerais (2)'!$C28</f>
        <v>0</v>
      </c>
      <c r="AA54" s="1180">
        <f t="shared" ca="1" si="9"/>
        <v>0</v>
      </c>
      <c r="AB54" s="1282">
        <f>B35</f>
        <v>0</v>
      </c>
    </row>
    <row r="55" spans="1:28" ht="15" thickBot="1" x14ac:dyDescent="0.4">
      <c r="A55" s="1281" t="s">
        <v>1162</v>
      </c>
      <c r="B55" s="1280">
        <f ca="1">'Hipóteses xerais (2)'!$C$70*B51</f>
        <v>156</v>
      </c>
      <c r="C55" s="1280">
        <f ca="1">'Hipóteses xerais (2)'!$C$70*C51</f>
        <v>130</v>
      </c>
      <c r="D55" s="1280">
        <f ca="1">'Hipóteses xerais (2)'!$C$70*D51</f>
        <v>434</v>
      </c>
      <c r="E55" s="1280">
        <f ca="1">'Hipóteses xerais (2)'!$C$70*E51</f>
        <v>334</v>
      </c>
      <c r="F55" s="1280">
        <f ca="1">'Hipóteses xerais (2)'!$C$70*F51</f>
        <v>246</v>
      </c>
      <c r="G55" s="1280">
        <f ca="1">'Hipóteses xerais (2)'!$C$70*G51</f>
        <v>518</v>
      </c>
      <c r="H55" s="1280">
        <f ca="1">'Hipóteses xerais (2)'!$C$70*H51</f>
        <v>232</v>
      </c>
      <c r="I55" s="1280">
        <f ca="1">'Hipóteses xerais (2)'!$C$70*I51</f>
        <v>207</v>
      </c>
      <c r="J55" s="1280">
        <f ca="1">'Hipóteses xerais (2)'!$C$70*J51</f>
        <v>139</v>
      </c>
      <c r="K55" s="1280">
        <f ca="1">'Hipóteses xerais (2)'!$C$70*K51</f>
        <v>296</v>
      </c>
      <c r="L55" s="1280">
        <f ca="1">'Hipóteses xerais (2)'!$C$70*L51</f>
        <v>120</v>
      </c>
      <c r="M55" s="1280">
        <f ca="1">'Hipóteses xerais (2)'!$C$70*M51</f>
        <v>281</v>
      </c>
      <c r="N55" s="1280">
        <f ca="1">'Hipóteses xerais (2)'!$C$70*N51</f>
        <v>79</v>
      </c>
      <c r="O55" s="1280">
        <f ca="1">'Hipóteses xerais (2)'!$C$70*O51</f>
        <v>195</v>
      </c>
      <c r="P55" s="1280">
        <f ca="1">'Hipóteses xerais (2)'!$C$70*P51</f>
        <v>297</v>
      </c>
      <c r="Q55" s="1280">
        <f ca="1">'Hipóteses xerais (2)'!$C$70*Q51</f>
        <v>525</v>
      </c>
      <c r="R55" s="1280">
        <f ca="1">'Hipóteses xerais (2)'!$C$70*R51</f>
        <v>485</v>
      </c>
      <c r="S55" s="1280">
        <f ca="1">'Hipóteses xerais (2)'!$C$70*S51</f>
        <v>331</v>
      </c>
      <c r="T55" s="1280">
        <f ca="1">'Hipóteses xerais (2)'!$C$70*T51</f>
        <v>142</v>
      </c>
      <c r="U55" s="1280">
        <f ca="1">'Hipóteses xerais (2)'!$C$70*U51</f>
        <v>315</v>
      </c>
      <c r="V55" s="1280">
        <f ca="1">'Hipóteses xerais (2)'!$C$70*V51</f>
        <v>180</v>
      </c>
      <c r="W55" s="1280">
        <f ca="1">'Hipóteses xerais (2)'!$C$70*W51</f>
        <v>149</v>
      </c>
      <c r="X55" s="1280">
        <f ca="1">'Hipóteses xerais (2)'!$C$70*X51</f>
        <v>322</v>
      </c>
      <c r="Y55" s="1280">
        <f ca="1">'Hipóteses xerais (2)'!$C$70*Y51</f>
        <v>295</v>
      </c>
      <c r="Z55" s="1280">
        <f ca="1">'Hipóteses xerais (2)'!$C$70*Z51</f>
        <v>79</v>
      </c>
      <c r="AA55" s="1280">
        <f t="shared" ca="1" si="9"/>
        <v>6487</v>
      </c>
      <c r="AB55" s="1279">
        <f>SUM(AB52:AB54)</f>
        <v>7443.3333333333321</v>
      </c>
    </row>
    <row r="56" spans="1:28" ht="29" x14ac:dyDescent="0.35">
      <c r="A56" s="1051" t="s">
        <v>1161</v>
      </c>
      <c r="B56" s="1278">
        <f ca="1">'Hipóteses xerais (2)'!$C$29*B53</f>
        <v>78</v>
      </c>
      <c r="C56" s="1277">
        <f ca="1">'Hipóteses xerais (2)'!$C$29*C53</f>
        <v>65</v>
      </c>
      <c r="D56" s="1277">
        <f ca="1">'Hipóteses xerais (2)'!$C$29*D53</f>
        <v>217</v>
      </c>
      <c r="E56" s="1277">
        <f ca="1">'Hipóteses xerais (2)'!$C$29*E53</f>
        <v>167</v>
      </c>
      <c r="F56" s="1277">
        <f ca="1">'Hipóteses xerais (2)'!$C$29*F53</f>
        <v>123</v>
      </c>
      <c r="G56" s="1277">
        <f ca="1">'Hipóteses xerais (2)'!$C$29*G53</f>
        <v>259</v>
      </c>
      <c r="H56" s="1277">
        <f ca="1">'Hipóteses xerais (2)'!$C$29*H53</f>
        <v>116</v>
      </c>
      <c r="I56" s="1277">
        <f ca="1">'Hipóteses xerais (2)'!$C$29*I53</f>
        <v>103.5</v>
      </c>
      <c r="J56" s="1277">
        <f ca="1">'Hipóteses xerais (2)'!$C$29*J53</f>
        <v>69.5</v>
      </c>
      <c r="K56" s="1277">
        <f ca="1">'Hipóteses xerais (2)'!$C$29*K53</f>
        <v>148</v>
      </c>
      <c r="L56" s="1277">
        <f ca="1">'Hipóteses xerais (2)'!$C$29*L53</f>
        <v>60</v>
      </c>
      <c r="M56" s="1277">
        <f ca="1">'Hipóteses xerais (2)'!$C$29*M53</f>
        <v>140.5</v>
      </c>
      <c r="N56" s="1277">
        <f ca="1">'Hipóteses xerais (2)'!$C$29*N53</f>
        <v>39.5</v>
      </c>
      <c r="O56" s="1277">
        <f ca="1">'Hipóteses xerais (2)'!$C$29*O53</f>
        <v>97.5</v>
      </c>
      <c r="P56" s="1277">
        <f ca="1">'Hipóteses xerais (2)'!$C$29*P53</f>
        <v>148.5</v>
      </c>
      <c r="Q56" s="1277">
        <f ca="1">'Hipóteses xerais (2)'!$C$29*Q53</f>
        <v>262.5</v>
      </c>
      <c r="R56" s="1277">
        <f ca="1">'Hipóteses xerais (2)'!$C$29*R53</f>
        <v>242.5</v>
      </c>
      <c r="S56" s="1277">
        <f ca="1">'Hipóteses xerais (2)'!$C$29*S53</f>
        <v>165.5</v>
      </c>
      <c r="T56" s="1277">
        <f ca="1">'Hipóteses xerais (2)'!$C$29*T53</f>
        <v>71</v>
      </c>
      <c r="U56" s="1277">
        <f ca="1">'Hipóteses xerais (2)'!$C$29*U53</f>
        <v>157.5</v>
      </c>
      <c r="V56" s="1277">
        <f ca="1">'Hipóteses xerais (2)'!$C$29*V53</f>
        <v>90</v>
      </c>
      <c r="W56" s="1277">
        <f ca="1">'Hipóteses xerais (2)'!$C$29*W53</f>
        <v>74.5</v>
      </c>
      <c r="X56" s="1277">
        <f ca="1">'Hipóteses xerais (2)'!$C$29*X53</f>
        <v>161</v>
      </c>
      <c r="Y56" s="1277">
        <f ca="1">'Hipóteses xerais (2)'!$C$29*Y53</f>
        <v>147.5</v>
      </c>
      <c r="Z56" s="1276">
        <f ca="1">'Hipóteses xerais (2)'!$C$29*Z53</f>
        <v>39.5</v>
      </c>
      <c r="AA56" s="1275">
        <f t="shared" ca="1" si="9"/>
        <v>3243.5</v>
      </c>
    </row>
    <row r="57" spans="1:28" ht="29" x14ac:dyDescent="0.35">
      <c r="A57" s="623" t="s">
        <v>1160</v>
      </c>
      <c r="B57" s="1274">
        <f ca="1">(1-'Hipóteses xerais (2)'!$C$29)*B53</f>
        <v>0</v>
      </c>
      <c r="C57" s="1172">
        <f ca="1">(1-'Hipóteses xerais (2)'!$C$29)*C53</f>
        <v>0</v>
      </c>
      <c r="D57" s="1172">
        <f ca="1">(1-'Hipóteses xerais (2)'!$C$29)*D53</f>
        <v>0</v>
      </c>
      <c r="E57" s="1172">
        <f ca="1">(1-'Hipóteses xerais (2)'!$C$29)*E53</f>
        <v>0</v>
      </c>
      <c r="F57" s="1172">
        <f ca="1">(1-'Hipóteses xerais (2)'!$C$29)*F53</f>
        <v>0</v>
      </c>
      <c r="G57" s="1172">
        <f ca="1">(1-'Hipóteses xerais (2)'!$C$29)*G53</f>
        <v>0</v>
      </c>
      <c r="H57" s="1172">
        <f ca="1">(1-'Hipóteses xerais (2)'!$C$29)*H53</f>
        <v>0</v>
      </c>
      <c r="I57" s="1172">
        <f ca="1">(1-'Hipóteses xerais (2)'!$C$29)*I53</f>
        <v>0</v>
      </c>
      <c r="J57" s="1172">
        <f ca="1">(1-'Hipóteses xerais (2)'!$C$29)*J53</f>
        <v>0</v>
      </c>
      <c r="K57" s="1172">
        <f ca="1">(1-'Hipóteses xerais (2)'!$C$29)*K53</f>
        <v>0</v>
      </c>
      <c r="L57" s="1172">
        <f ca="1">(1-'Hipóteses xerais (2)'!$C$29)*L53</f>
        <v>0</v>
      </c>
      <c r="M57" s="1172">
        <f ca="1">(1-'Hipóteses xerais (2)'!$C$29)*M53</f>
        <v>0</v>
      </c>
      <c r="N57" s="1172">
        <f ca="1">(1-'Hipóteses xerais (2)'!$C$29)*N53</f>
        <v>0</v>
      </c>
      <c r="O57" s="1172">
        <f ca="1">(1-'Hipóteses xerais (2)'!$C$29)*O53</f>
        <v>0</v>
      </c>
      <c r="P57" s="1172">
        <f ca="1">(1-'Hipóteses xerais (2)'!$C$29)*P53</f>
        <v>0</v>
      </c>
      <c r="Q57" s="1172">
        <f ca="1">(1-'Hipóteses xerais (2)'!$C$29)*Q53</f>
        <v>0</v>
      </c>
      <c r="R57" s="1172">
        <f ca="1">(1-'Hipóteses xerais (2)'!$C$29)*R53</f>
        <v>0</v>
      </c>
      <c r="S57" s="1172">
        <f ca="1">(1-'Hipóteses xerais (2)'!$C$29)*S53</f>
        <v>0</v>
      </c>
      <c r="T57" s="1172">
        <f ca="1">(1-'Hipóteses xerais (2)'!$C$29)*T53</f>
        <v>0</v>
      </c>
      <c r="U57" s="1172">
        <f ca="1">(1-'Hipóteses xerais (2)'!$C$29)*U53</f>
        <v>0</v>
      </c>
      <c r="V57" s="1172">
        <f ca="1">(1-'Hipóteses xerais (2)'!$C$29)*V53</f>
        <v>0</v>
      </c>
      <c r="W57" s="1172">
        <f ca="1">(1-'Hipóteses xerais (2)'!$C$29)*W53</f>
        <v>0</v>
      </c>
      <c r="X57" s="1172">
        <f ca="1">(1-'Hipóteses xerais (2)'!$C$29)*X53</f>
        <v>0</v>
      </c>
      <c r="Y57" s="1172">
        <f ca="1">(1-'Hipóteses xerais (2)'!$C$29)*Y53</f>
        <v>0</v>
      </c>
      <c r="Z57" s="1171">
        <f ca="1">(1-'Hipóteses xerais (2)'!$C$29)*Z53</f>
        <v>0</v>
      </c>
    </row>
    <row r="58" spans="1:28" x14ac:dyDescent="0.35">
      <c r="A58" s="1104" t="s">
        <v>1159</v>
      </c>
      <c r="B58" s="1273">
        <f ca="1">((1-('Hipóteses xerais (2)'!$C$70*'Hipóteses xerais (2)'!$C$26))*(INDEX('Datos Socios'!$B$2:$B$27,'Factura Socios Sen CE'!B2)))</f>
        <v>78</v>
      </c>
      <c r="C58" s="1273">
        <f ca="1">((1-('Hipóteses xerais (2)'!$C$70*'Hipóteses xerais (2)'!$C$26))*(INDEX('Datos Socios'!$B$2:$B$27,'Factura Socios Sen CE'!C2)))</f>
        <v>65</v>
      </c>
      <c r="D58" s="1273">
        <f ca="1">((1-('Hipóteses xerais (2)'!$C$70*'Hipóteses xerais (2)'!$C$26))*(INDEX('Datos Socios'!$B$2:$B$27,'Factura Socios Sen CE'!D2)))</f>
        <v>217</v>
      </c>
      <c r="E58" s="1273">
        <f ca="1">((1-('Hipóteses xerais (2)'!$C$70*'Hipóteses xerais (2)'!$C$26))*(INDEX('Datos Socios'!$B$2:$B$27,'Factura Socios Sen CE'!E2)))</f>
        <v>167</v>
      </c>
      <c r="F58" s="1273">
        <f ca="1">((1-('Hipóteses xerais (2)'!$C$70*'Hipóteses xerais (2)'!$C$26))*(INDEX('Datos Socios'!$B$2:$B$27,'Factura Socios Sen CE'!F2)))</f>
        <v>123</v>
      </c>
      <c r="G58" s="1273">
        <f ca="1">((1-('Hipóteses xerais (2)'!$C$70*'Hipóteses xerais (2)'!$C$26))*(INDEX('Datos Socios'!$B$2:$B$27,'Factura Socios Sen CE'!G2)))</f>
        <v>259</v>
      </c>
      <c r="H58" s="1273">
        <f ca="1">((1-('Hipóteses xerais (2)'!$C$70*'Hipóteses xerais (2)'!$C$26))*(INDEX('Datos Socios'!$B$2:$B$27,'Factura Socios Sen CE'!H2)))</f>
        <v>116</v>
      </c>
      <c r="I58" s="1273">
        <f ca="1">((1-('Hipóteses xerais (2)'!$C$70*'Hipóteses xerais (2)'!$C$26))*(INDEX('Datos Socios'!$B$2:$B$27,'Factura Socios Sen CE'!I2)))</f>
        <v>103.5</v>
      </c>
      <c r="J58" s="1273">
        <f ca="1">((1-('Hipóteses xerais (2)'!$C$70*'Hipóteses xerais (2)'!$C$26))*(INDEX('Datos Socios'!$B$2:$B$27,'Factura Socios Sen CE'!J2)))</f>
        <v>69.5</v>
      </c>
      <c r="K58" s="1273">
        <f ca="1">((1-('Hipóteses xerais (2)'!$C$70*'Hipóteses xerais (2)'!$C$26))*(INDEX('Datos Socios'!$B$2:$B$27,'Factura Socios Sen CE'!K2)))</f>
        <v>148</v>
      </c>
      <c r="L58" s="1273">
        <f ca="1">((1-('Hipóteses xerais (2)'!$C$70*'Hipóteses xerais (2)'!$C$26))*(INDEX('Datos Socios'!$B$2:$B$27,'Factura Socios Sen CE'!L2)))</f>
        <v>60</v>
      </c>
      <c r="M58" s="1273">
        <f ca="1">((1-('Hipóteses xerais (2)'!$C$70*'Hipóteses xerais (2)'!$C$26))*(INDEX('Datos Socios'!$B$2:$B$27,'Factura Socios Sen CE'!M2)))</f>
        <v>140.5</v>
      </c>
      <c r="N58" s="1273">
        <f ca="1">((1-('Hipóteses xerais (2)'!$C$70*'Hipóteses xerais (2)'!$C$26))*(INDEX('Datos Socios'!$B$2:$B$27,'Factura Socios Sen CE'!N2)))</f>
        <v>39.5</v>
      </c>
      <c r="O58" s="1273">
        <f ca="1">((1-('Hipóteses xerais (2)'!$C$70*'Hipóteses xerais (2)'!$C$26))*(INDEX('Datos Socios'!$B$2:$B$27,'Factura Socios Sen CE'!O2)))</f>
        <v>97.5</v>
      </c>
      <c r="P58" s="1273">
        <f ca="1">((1-('Hipóteses xerais (2)'!$C$70*'Hipóteses xerais (2)'!$C$26))*(INDEX('Datos Socios'!$B$2:$B$27,'Factura Socios Sen CE'!P2)))</f>
        <v>148.5</v>
      </c>
      <c r="Q58" s="1273">
        <f ca="1">((1-('Hipóteses xerais (2)'!$C$70*'Hipóteses xerais (2)'!$C$26))*(INDEX('Datos Socios'!$B$2:$B$27,'Factura Socios Sen CE'!Q2)))</f>
        <v>262.5</v>
      </c>
      <c r="R58" s="1273">
        <f ca="1">((1-('Hipóteses xerais (2)'!$C$70*'Hipóteses xerais (2)'!$C$26))*(INDEX('Datos Socios'!$B$2:$B$27,'Factura Socios Sen CE'!R2)))</f>
        <v>242.5</v>
      </c>
      <c r="S58" s="1273">
        <f ca="1">((1-('Hipóteses xerais (2)'!$C$70*'Hipóteses xerais (2)'!$C$26))*(INDEX('Datos Socios'!$B$2:$B$27,'Factura Socios Sen CE'!S2)))</f>
        <v>165.5</v>
      </c>
      <c r="T58" s="1273">
        <f ca="1">((1-('Hipóteses xerais (2)'!$C$70*'Hipóteses xerais (2)'!$C$26))*(INDEX('Datos Socios'!$B$2:$B$27,'Factura Socios Sen CE'!T2)))</f>
        <v>71</v>
      </c>
      <c r="U58" s="1273">
        <f ca="1">((1-('Hipóteses xerais (2)'!$C$70*'Hipóteses xerais (2)'!$C$26))*(INDEX('Datos Socios'!$B$2:$B$27,'Factura Socios Sen CE'!U2)))</f>
        <v>157.5</v>
      </c>
      <c r="V58" s="1273">
        <f ca="1">((1-('Hipóteses xerais (2)'!$C$70*'Hipóteses xerais (2)'!$C$26))*(INDEX('Datos Socios'!$B$2:$B$27,'Factura Socios Sen CE'!V2)))</f>
        <v>90</v>
      </c>
      <c r="W58" s="1273">
        <f ca="1">((1-('Hipóteses xerais (2)'!$C$70*'Hipóteses xerais (2)'!$C$26))*(INDEX('Datos Socios'!$B$2:$B$27,'Factura Socios Sen CE'!W2)))</f>
        <v>74.5</v>
      </c>
      <c r="X58" s="1273">
        <f ca="1">((1-('Hipóteses xerais (2)'!$C$70*'Hipóteses xerais (2)'!$C$26))*(INDEX('Datos Socios'!$B$2:$B$27,'Factura Socios Sen CE'!X2)))</f>
        <v>161</v>
      </c>
      <c r="Y58" s="1273">
        <f ca="1">((1-('Hipóteses xerais (2)'!$C$70*'Hipóteses xerais (2)'!$C$26))*(INDEX('Datos Socios'!$B$2:$B$27,'Factura Socios Sen CE'!Y2)))</f>
        <v>147.5</v>
      </c>
      <c r="Z58" s="1273">
        <f ca="1">((1-('Hipóteses xerais (2)'!$C$70*'Hipóteses xerais (2)'!$C$26))*(INDEX('Datos Socios'!$B$2:$B$27,'Factura Socios Sen CE'!Z2)))</f>
        <v>39.5</v>
      </c>
      <c r="AA58" s="913">
        <f ca="1">SUM(B58:Z58)</f>
        <v>3243.5</v>
      </c>
    </row>
    <row r="61" spans="1:28" ht="29" x14ac:dyDescent="0.35">
      <c r="A61" s="873" t="s">
        <v>1158</v>
      </c>
      <c r="B61" s="1272" t="str">
        <f ca="1">IF(B62&lt;0,"Erro", "O.K.")</f>
        <v>O.K.</v>
      </c>
      <c r="C61" s="1271"/>
    </row>
    <row r="62" spans="1:28" x14ac:dyDescent="0.35">
      <c r="A62" s="877" t="s">
        <v>1157</v>
      </c>
      <c r="B62" s="1270">
        <f ca="1">('Hipóteses xerais (2)'!$C$35*1000/12)-AA55</f>
        <v>956.33333333333303</v>
      </c>
      <c r="C62" s="1088" t="s">
        <v>1114</v>
      </c>
    </row>
  </sheetData>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7C9A9-C291-4028-A2A8-E0544A4A9E14}">
  <dimension ref="A1:AA26"/>
  <sheetViews>
    <sheetView workbookViewId="0">
      <selection activeCell="F2" sqref="F2"/>
    </sheetView>
  </sheetViews>
  <sheetFormatPr baseColWidth="10" defaultColWidth="11.54296875" defaultRowHeight="14.5" x14ac:dyDescent="0.35"/>
  <cols>
    <col min="1" max="1" width="53.453125" bestFit="1" customWidth="1"/>
    <col min="2" max="2" width="12.08984375" bestFit="1" customWidth="1"/>
    <col min="3" max="3" width="13.90625" customWidth="1"/>
    <col min="27" max="27" width="11.453125" bestFit="1" customWidth="1"/>
  </cols>
  <sheetData>
    <row r="1" spans="1:27" x14ac:dyDescent="0.35">
      <c r="B1" s="174" t="s">
        <v>1156</v>
      </c>
      <c r="C1" s="1269"/>
    </row>
    <row r="2" spans="1:27" ht="43.5" x14ac:dyDescent="0.35">
      <c r="B2" s="371">
        <v>1</v>
      </c>
      <c r="C2" s="371">
        <v>2</v>
      </c>
      <c r="D2" s="371">
        <v>3</v>
      </c>
      <c r="E2" s="371">
        <v>4</v>
      </c>
      <c r="F2" s="371">
        <v>5</v>
      </c>
      <c r="G2" s="371">
        <v>6</v>
      </c>
      <c r="H2" s="371">
        <v>7</v>
      </c>
      <c r="I2" s="371">
        <v>8</v>
      </c>
      <c r="J2" s="371">
        <v>9</v>
      </c>
      <c r="K2" s="371">
        <v>10</v>
      </c>
      <c r="L2" s="371">
        <v>11</v>
      </c>
      <c r="M2" s="371">
        <v>12</v>
      </c>
      <c r="N2" s="371">
        <v>13</v>
      </c>
      <c r="O2" s="371">
        <v>14</v>
      </c>
      <c r="P2" s="371">
        <v>15</v>
      </c>
      <c r="Q2" s="371">
        <v>16</v>
      </c>
      <c r="R2" s="371">
        <v>17</v>
      </c>
      <c r="S2" s="371">
        <v>18</v>
      </c>
      <c r="T2" s="371">
        <v>19</v>
      </c>
      <c r="U2" s="371">
        <v>20</v>
      </c>
      <c r="V2" s="371">
        <v>21</v>
      </c>
      <c r="W2" s="371">
        <v>22</v>
      </c>
      <c r="X2" s="371">
        <v>23</v>
      </c>
      <c r="Y2" s="371">
        <v>24</v>
      </c>
      <c r="Z2" s="371">
        <v>25</v>
      </c>
      <c r="AA2" s="371" t="s">
        <v>1148</v>
      </c>
    </row>
    <row r="3" spans="1:27" x14ac:dyDescent="0.35">
      <c r="A3" s="394" t="s">
        <v>571</v>
      </c>
      <c r="B3" s="1268">
        <f>'Simulac. Factura Indiv. Sen CE'!$B$3*(365/12)*'Datos Custos Factura Eléctrica'!$B$3</f>
        <v>10.037500000000001</v>
      </c>
      <c r="C3" s="1268">
        <f>'Simulac. Factura Indiv. Sen CE'!$B$3*(365/12)*'Datos Custos Factura Eléctrica'!$B$3</f>
        <v>10.037500000000001</v>
      </c>
      <c r="D3" s="1268">
        <f>'Simulac. Factura Indiv. Sen CE'!$B$3*(365/12)*'Datos Custos Factura Eléctrica'!$B$3</f>
        <v>10.037500000000001</v>
      </c>
      <c r="E3" s="1268">
        <f>'Simulac. Factura Indiv. Sen CE'!$B$3*(365/12)*'Datos Custos Factura Eléctrica'!$B$3</f>
        <v>10.037500000000001</v>
      </c>
      <c r="F3" s="1268">
        <f>'Simulac. Factura Indiv. Sen CE'!$B$3*(365/12)*'Datos Custos Factura Eléctrica'!$B$3</f>
        <v>10.037500000000001</v>
      </c>
      <c r="G3" s="1268">
        <f>'Simulac. Factura Indiv. Sen CE'!$B$3*(365/12)*'Datos Custos Factura Eléctrica'!$B$3</f>
        <v>10.037500000000001</v>
      </c>
      <c r="H3" s="1268">
        <f>'Simulac. Factura Indiv. Sen CE'!$B$3*(365/12)*'Datos Custos Factura Eléctrica'!$B$3</f>
        <v>10.037500000000001</v>
      </c>
      <c r="I3" s="1268">
        <f>'Simulac. Factura Indiv. Sen CE'!$B$3*(365/12)*'Datos Custos Factura Eléctrica'!$B$3</f>
        <v>10.037500000000001</v>
      </c>
      <c r="J3" s="1268">
        <f>'Simulac. Factura Indiv. Sen CE'!$B$3*(365/12)*'Datos Custos Factura Eléctrica'!$B$3</f>
        <v>10.037500000000001</v>
      </c>
      <c r="K3" s="1268">
        <f>'Simulac. Factura Indiv. Sen CE'!$B$3*(365/12)*'Datos Custos Factura Eléctrica'!$B$3</f>
        <v>10.037500000000001</v>
      </c>
      <c r="L3" s="1268">
        <f>'Simulac. Factura Indiv. Sen CE'!$B$3*(365/12)*'Datos Custos Factura Eléctrica'!$B$3</f>
        <v>10.037500000000001</v>
      </c>
      <c r="M3" s="1268">
        <f>'Simulac. Factura Indiv. Sen CE'!$B$3*(365/12)*'Datos Custos Factura Eléctrica'!$B$3</f>
        <v>10.037500000000001</v>
      </c>
      <c r="N3" s="1268">
        <f>'Simulac. Factura Indiv. Sen CE'!$B$3*(365/12)*'Datos Custos Factura Eléctrica'!$B$3</f>
        <v>10.037500000000001</v>
      </c>
      <c r="O3" s="1268">
        <f>'Simulac. Factura Indiv. Sen CE'!$B$3*(365/12)*'Datos Custos Factura Eléctrica'!$B$3</f>
        <v>10.037500000000001</v>
      </c>
      <c r="P3" s="1268">
        <f>'Simulac. Factura Indiv. Sen CE'!$B$3*(365/12)*'Datos Custos Factura Eléctrica'!$B$3</f>
        <v>10.037500000000001</v>
      </c>
      <c r="Q3" s="1268">
        <f>'Simulac. Factura Indiv. Sen CE'!$B$3*(365/12)*'Datos Custos Factura Eléctrica'!$B$3</f>
        <v>10.037500000000001</v>
      </c>
      <c r="R3" s="1268">
        <f>'Simulac. Factura Indiv. Sen CE'!$B$3*(365/12)*'Datos Custos Factura Eléctrica'!$B$3</f>
        <v>10.037500000000001</v>
      </c>
      <c r="S3" s="1268">
        <f>'Simulac. Factura Indiv. Sen CE'!$B$3*(365/12)*'Datos Custos Factura Eléctrica'!$B$3</f>
        <v>10.037500000000001</v>
      </c>
      <c r="T3" s="1268">
        <f>'Simulac. Factura Indiv. Sen CE'!$B$3*(365/12)*'Datos Custos Factura Eléctrica'!$B$3</f>
        <v>10.037500000000001</v>
      </c>
      <c r="U3" s="1268">
        <f>'Simulac. Factura Indiv. Sen CE'!$B$3*(365/12)*'Datos Custos Factura Eléctrica'!$B$3</f>
        <v>10.037500000000001</v>
      </c>
      <c r="V3" s="1268">
        <f>'Simulac. Factura Indiv. Sen CE'!$B$3*(365/12)*'Datos Custos Factura Eléctrica'!$B$3</f>
        <v>10.037500000000001</v>
      </c>
      <c r="W3" s="1268">
        <f>'Simulac. Factura Indiv. Sen CE'!$B$3*(365/12)*'Datos Custos Factura Eléctrica'!$B$3</f>
        <v>10.037500000000001</v>
      </c>
      <c r="X3" s="1268">
        <f>'Simulac. Factura Indiv. Sen CE'!$B$3*(365/12)*'Datos Custos Factura Eléctrica'!$B$3</f>
        <v>10.037500000000001</v>
      </c>
      <c r="Y3" s="1268">
        <f>'Simulac. Factura Indiv. Sen CE'!$B$3*(365/12)*'Datos Custos Factura Eléctrica'!$B$3</f>
        <v>10.037500000000001</v>
      </c>
      <c r="Z3" s="1268">
        <f>'Simulac. Factura Indiv. Sen CE'!$B$3*(365/12)*'Datos Custos Factura Eléctrica'!$B$3</f>
        <v>10.037500000000001</v>
      </c>
      <c r="AA3" s="150">
        <f>SUM(B3:Z3)</f>
        <v>250.93749999999991</v>
      </c>
    </row>
    <row r="4" spans="1:27" x14ac:dyDescent="0.35">
      <c r="A4" s="394" t="s">
        <v>574</v>
      </c>
      <c r="B4" s="1268">
        <f>'Simulac. Factura Indiv. Sen CE'!$B$3*(365/12)*'Datos Custos Factura Eléctrica'!$B4</f>
        <v>3.01125</v>
      </c>
      <c r="C4" s="1268">
        <f>'Simulac. Factura Indiv. Sen CE'!$B$3*(365/12)*'Datos Custos Factura Eléctrica'!$B4</f>
        <v>3.01125</v>
      </c>
      <c r="D4" s="1268">
        <f>'Simulac. Factura Indiv. Sen CE'!$B$3*(365/12)*'Datos Custos Factura Eléctrica'!$B4</f>
        <v>3.01125</v>
      </c>
      <c r="E4" s="1268">
        <f>'Simulac. Factura Indiv. Sen CE'!$B$3*(365/12)*'Datos Custos Factura Eléctrica'!$B4</f>
        <v>3.01125</v>
      </c>
      <c r="F4" s="1268">
        <f>'Simulac. Factura Indiv. Sen CE'!$B$3*(365/12)*'Datos Custos Factura Eléctrica'!$B4</f>
        <v>3.01125</v>
      </c>
      <c r="G4" s="1268">
        <f>'Simulac. Factura Indiv. Sen CE'!$B$3*(365/12)*'Datos Custos Factura Eléctrica'!$B4</f>
        <v>3.01125</v>
      </c>
      <c r="H4" s="1268">
        <f>'Simulac. Factura Indiv. Sen CE'!$B$3*(365/12)*'Datos Custos Factura Eléctrica'!$B4</f>
        <v>3.01125</v>
      </c>
      <c r="I4" s="1268">
        <f>'Simulac. Factura Indiv. Sen CE'!$B$3*(365/12)*'Datos Custos Factura Eléctrica'!$B4</f>
        <v>3.01125</v>
      </c>
      <c r="J4" s="1268">
        <f>'Simulac. Factura Indiv. Sen CE'!$B$3*(365/12)*'Datos Custos Factura Eléctrica'!$B4</f>
        <v>3.01125</v>
      </c>
      <c r="K4" s="1268">
        <f>'Simulac. Factura Indiv. Sen CE'!$B$3*(365/12)*'Datos Custos Factura Eléctrica'!$B4</f>
        <v>3.01125</v>
      </c>
      <c r="L4" s="1268">
        <f>'Simulac. Factura Indiv. Sen CE'!$B$3*(365/12)*'Datos Custos Factura Eléctrica'!$B4</f>
        <v>3.01125</v>
      </c>
      <c r="M4" s="1268">
        <f>'Simulac. Factura Indiv. Sen CE'!$B$3*(365/12)*'Datos Custos Factura Eléctrica'!$B4</f>
        <v>3.01125</v>
      </c>
      <c r="N4" s="1268">
        <f>'Simulac. Factura Indiv. Sen CE'!$B$3*(365/12)*'Datos Custos Factura Eléctrica'!$B4</f>
        <v>3.01125</v>
      </c>
      <c r="O4" s="1268">
        <f>'Simulac. Factura Indiv. Sen CE'!$B$3*(365/12)*'Datos Custos Factura Eléctrica'!$B4</f>
        <v>3.01125</v>
      </c>
      <c r="P4" s="1268">
        <f>'Simulac. Factura Indiv. Sen CE'!$B$3*(365/12)*'Datos Custos Factura Eléctrica'!$B4</f>
        <v>3.01125</v>
      </c>
      <c r="Q4" s="1268">
        <f>'Simulac. Factura Indiv. Sen CE'!$B$3*(365/12)*'Datos Custos Factura Eléctrica'!$B4</f>
        <v>3.01125</v>
      </c>
      <c r="R4" s="1268">
        <f>'Simulac. Factura Indiv. Sen CE'!$B$3*(365/12)*'Datos Custos Factura Eléctrica'!$B4</f>
        <v>3.01125</v>
      </c>
      <c r="S4" s="1268">
        <f>'Simulac. Factura Indiv. Sen CE'!$B$3*(365/12)*'Datos Custos Factura Eléctrica'!$B4</f>
        <v>3.01125</v>
      </c>
      <c r="T4" s="1268">
        <f>'Simulac. Factura Indiv. Sen CE'!$B$3*(365/12)*'Datos Custos Factura Eléctrica'!$B4</f>
        <v>3.01125</v>
      </c>
      <c r="U4" s="1268">
        <f>'Simulac. Factura Indiv. Sen CE'!$B$3*(365/12)*'Datos Custos Factura Eléctrica'!$B4</f>
        <v>3.01125</v>
      </c>
      <c r="V4" s="1268">
        <f>'Simulac. Factura Indiv. Sen CE'!$B$3*(365/12)*'Datos Custos Factura Eléctrica'!$B4</f>
        <v>3.01125</v>
      </c>
      <c r="W4" s="1268">
        <f>'Simulac. Factura Indiv. Sen CE'!$B$3*(365/12)*'Datos Custos Factura Eléctrica'!$B4</f>
        <v>3.01125</v>
      </c>
      <c r="X4" s="1268">
        <f>'Simulac. Factura Indiv. Sen CE'!$B$3*(365/12)*'Datos Custos Factura Eléctrica'!$B4</f>
        <v>3.01125</v>
      </c>
      <c r="Y4" s="1268">
        <f>'Simulac. Factura Indiv. Sen CE'!$B$3*(365/12)*'Datos Custos Factura Eléctrica'!$B4</f>
        <v>3.01125</v>
      </c>
      <c r="Z4" s="1268">
        <f>'Simulac. Factura Indiv. Sen CE'!$B$3*(365/12)*'Datos Custos Factura Eléctrica'!$B4</f>
        <v>3.01125</v>
      </c>
      <c r="AA4" s="150">
        <f>SUM(B4:Z4)</f>
        <v>75.281249999999986</v>
      </c>
    </row>
    <row r="5" spans="1:27" x14ac:dyDescent="0.35">
      <c r="A5" s="394" t="s">
        <v>1099</v>
      </c>
      <c r="B5" s="1263">
        <f ca="1">((1-'Hipóteses xerais (2)'!$C$70)*(INDEX('Datos Socios'!$B$2:$B$27,'Factura Socios Sen CE'!B2))*'Datos Custos Factura Eléctrica'!$B$5)</f>
        <v>0</v>
      </c>
      <c r="C5" s="1263">
        <f ca="1">((1-'Hipóteses xerais (2)'!$C$70)*(INDEX('Datos Socios'!$B$2:$B$27,'Factura Socios Sen CE'!C2))*'Datos Custos Factura Eléctrica'!$B$5)</f>
        <v>0</v>
      </c>
      <c r="D5" s="1263">
        <f ca="1">((1-'Hipóteses xerais (2)'!$C$70)*(INDEX('Datos Socios'!$B$2:$B$27,'Factura Socios Sen CE'!D2))*'Datos Custos Factura Eléctrica'!$B$5)</f>
        <v>0</v>
      </c>
      <c r="E5" s="1263">
        <f ca="1">((1-'Hipóteses xerais (2)'!$C$70)*(INDEX('Datos Socios'!$B$2:$B$27,'Factura Socios Sen CE'!E2))*'Datos Custos Factura Eléctrica'!$B$5)</f>
        <v>0</v>
      </c>
      <c r="F5" s="1263">
        <f ca="1">((1-'Hipóteses xerais (2)'!$C$70)*(INDEX('Datos Socios'!$B$2:$B$27,'Factura Socios Sen CE'!F2))*'Datos Custos Factura Eléctrica'!$B$5)</f>
        <v>0</v>
      </c>
      <c r="G5" s="1263">
        <f ca="1">((1-'Hipóteses xerais (2)'!$C$70)*(INDEX('Datos Socios'!$B$2:$B$27,'Factura Socios Sen CE'!G2))*'Datos Custos Factura Eléctrica'!$B$5)</f>
        <v>0</v>
      </c>
      <c r="H5" s="1263">
        <f ca="1">((1-'Hipóteses xerais (2)'!$C$70)*(INDEX('Datos Socios'!$B$2:$B$27,'Factura Socios Sen CE'!H2))*'Datos Custos Factura Eléctrica'!$B$5)</f>
        <v>0</v>
      </c>
      <c r="I5" s="1263">
        <f ca="1">((1-'Hipóteses xerais (2)'!$C$70)*(INDEX('Datos Socios'!$B$2:$B$27,'Factura Socios Sen CE'!I2))*'Datos Custos Factura Eléctrica'!$B$5)</f>
        <v>0</v>
      </c>
      <c r="J5" s="1263">
        <f ca="1">((1-'Hipóteses xerais (2)'!$C$70)*(INDEX('Datos Socios'!$B$2:$B$27,'Factura Socios Sen CE'!J2))*'Datos Custos Factura Eléctrica'!$B$5)</f>
        <v>0</v>
      </c>
      <c r="K5" s="1263">
        <f ca="1">((1-'Hipóteses xerais (2)'!$C$70)*(INDEX('Datos Socios'!$B$2:$B$27,'Factura Socios Sen CE'!K2))*'Datos Custos Factura Eléctrica'!$B$5)</f>
        <v>0</v>
      </c>
      <c r="L5" s="1263">
        <f ca="1">((1-'Hipóteses xerais (2)'!$C$70)*(INDEX('Datos Socios'!$B$2:$B$27,'Factura Socios Sen CE'!L2))*'Datos Custos Factura Eléctrica'!$B$5)</f>
        <v>0</v>
      </c>
      <c r="M5" s="1263">
        <f ca="1">((1-'Hipóteses xerais (2)'!$C$70)*(INDEX('Datos Socios'!$B$2:$B$27,'Factura Socios Sen CE'!M2))*'Datos Custos Factura Eléctrica'!$B$5)</f>
        <v>0</v>
      </c>
      <c r="N5" s="1263">
        <f ca="1">((1-'Hipóteses xerais (2)'!$C$70)*(INDEX('Datos Socios'!$B$2:$B$27,'Factura Socios Sen CE'!N2))*'Datos Custos Factura Eléctrica'!$B$5)</f>
        <v>0</v>
      </c>
      <c r="O5" s="1263">
        <f ca="1">((1-'Hipóteses xerais (2)'!$C$70)*(INDEX('Datos Socios'!$B$2:$B$27,'Factura Socios Sen CE'!O2))*'Datos Custos Factura Eléctrica'!$B$5)</f>
        <v>0</v>
      </c>
      <c r="P5" s="1263">
        <f ca="1">((1-'Hipóteses xerais (2)'!$C$70)*(INDEX('Datos Socios'!$B$2:$B$27,'Factura Socios Sen CE'!P2))*'Datos Custos Factura Eléctrica'!$B$5)</f>
        <v>0</v>
      </c>
      <c r="Q5" s="1263">
        <f ca="1">((1-'Hipóteses xerais (2)'!$C$70)*(INDEX('Datos Socios'!$B$2:$B$27,'Factura Socios Sen CE'!Q2))*'Datos Custos Factura Eléctrica'!$B$5)</f>
        <v>0</v>
      </c>
      <c r="R5" s="1263">
        <f ca="1">((1-'Hipóteses xerais (2)'!$C$70)*(INDEX('Datos Socios'!$B$2:$B$27,'Factura Socios Sen CE'!R2))*'Datos Custos Factura Eléctrica'!$B$5)</f>
        <v>0</v>
      </c>
      <c r="S5" s="1263">
        <f ca="1">((1-'Hipóteses xerais (2)'!$C$70)*(INDEX('Datos Socios'!$B$2:$B$27,'Factura Socios Sen CE'!S2))*'Datos Custos Factura Eléctrica'!$B$5)</f>
        <v>0</v>
      </c>
      <c r="T5" s="1263">
        <f ca="1">((1-'Hipóteses xerais (2)'!$C$70)*(INDEX('Datos Socios'!$B$2:$B$27,'Factura Socios Sen CE'!T2))*'Datos Custos Factura Eléctrica'!$B$5)</f>
        <v>0</v>
      </c>
      <c r="U5" s="1263">
        <f ca="1">((1-'Hipóteses xerais (2)'!$C$70)*(INDEX('Datos Socios'!$B$2:$B$27,'Factura Socios Sen CE'!U2))*'Datos Custos Factura Eléctrica'!$B$5)</f>
        <v>0</v>
      </c>
      <c r="V5" s="1263">
        <f ca="1">((1-'Hipóteses xerais (2)'!$C$70)*(INDEX('Datos Socios'!$B$2:$B$27,'Factura Socios Sen CE'!V2))*'Datos Custos Factura Eléctrica'!$B$5)</f>
        <v>0</v>
      </c>
      <c r="W5" s="1263">
        <f ca="1">((1-'Hipóteses xerais (2)'!$C$70)*(INDEX('Datos Socios'!$B$2:$B$27,'Factura Socios Sen CE'!W2))*'Datos Custos Factura Eléctrica'!$B$5)</f>
        <v>0</v>
      </c>
      <c r="X5" s="1263">
        <f ca="1">((1-'Hipóteses xerais (2)'!$C$70)*(INDEX('Datos Socios'!$B$2:$B$27,'Factura Socios Sen CE'!X2))*'Datos Custos Factura Eléctrica'!$B$5)</f>
        <v>0</v>
      </c>
      <c r="Y5" s="1263">
        <f ca="1">((1-'Hipóteses xerais (2)'!$C$70)*(INDEX('Datos Socios'!$B$2:$B$27,'Factura Socios Sen CE'!Y2))*'Datos Custos Factura Eléctrica'!$B$5)</f>
        <v>0</v>
      </c>
      <c r="Z5" s="1263">
        <f ca="1">((1-'Hipóteses xerais (2)'!$C$70)*(INDEX('Datos Socios'!$B$2:$B$27,'Factura Socios Sen CE'!Z2))*'Datos Custos Factura Eléctrica'!$B$5)</f>
        <v>0</v>
      </c>
      <c r="AA5" s="150">
        <f ca="1">SUM(B5:Z5)</f>
        <v>0</v>
      </c>
    </row>
    <row r="6" spans="1:27" ht="15" thickBot="1" x14ac:dyDescent="0.4">
      <c r="A6" s="394" t="s">
        <v>577</v>
      </c>
      <c r="B6" s="1268">
        <f>'Datos Custos Factura Eléctrica'!$B$6*(365/12)</f>
        <v>1.1696729166666668</v>
      </c>
      <c r="C6" s="1268">
        <f>'Datos Custos Factura Eléctrica'!$B$6*(365/12)</f>
        <v>1.1696729166666668</v>
      </c>
      <c r="D6" s="1268">
        <f>'Datos Custos Factura Eléctrica'!$B$6*(365/12)</f>
        <v>1.1696729166666668</v>
      </c>
      <c r="E6" s="1268">
        <f>'Datos Custos Factura Eléctrica'!$B$6*(365/12)</f>
        <v>1.1696729166666668</v>
      </c>
      <c r="F6" s="1268">
        <f>'Datos Custos Factura Eléctrica'!$B$6*(365/12)</f>
        <v>1.1696729166666668</v>
      </c>
      <c r="G6" s="1268">
        <f>'Datos Custos Factura Eléctrica'!$B$6*(365/12)</f>
        <v>1.1696729166666668</v>
      </c>
      <c r="H6" s="1268">
        <f>'Datos Custos Factura Eléctrica'!$B$6*(365/12)</f>
        <v>1.1696729166666668</v>
      </c>
      <c r="I6" s="1268">
        <f>'Datos Custos Factura Eléctrica'!$B$6*(365/12)</f>
        <v>1.1696729166666668</v>
      </c>
      <c r="J6" s="1268">
        <f>'Datos Custos Factura Eléctrica'!$B$6*(365/12)</f>
        <v>1.1696729166666668</v>
      </c>
      <c r="K6" s="1268">
        <f>'Datos Custos Factura Eléctrica'!$B$6*(365/12)</f>
        <v>1.1696729166666668</v>
      </c>
      <c r="L6" s="1268">
        <f>'Datos Custos Factura Eléctrica'!$B$6*(365/12)</f>
        <v>1.1696729166666668</v>
      </c>
      <c r="M6" s="1268">
        <f>'Datos Custos Factura Eléctrica'!$B$6*(365/12)</f>
        <v>1.1696729166666668</v>
      </c>
      <c r="N6" s="1268">
        <f>'Datos Custos Factura Eléctrica'!$B$6*(365/12)</f>
        <v>1.1696729166666668</v>
      </c>
      <c r="O6" s="1268">
        <f>'Datos Custos Factura Eléctrica'!$B$6*(365/12)</f>
        <v>1.1696729166666668</v>
      </c>
      <c r="P6" s="1268">
        <f>'Datos Custos Factura Eléctrica'!$B$6*(365/12)</f>
        <v>1.1696729166666668</v>
      </c>
      <c r="Q6" s="1268">
        <f>'Datos Custos Factura Eléctrica'!$B$6*(365/12)</f>
        <v>1.1696729166666668</v>
      </c>
      <c r="R6" s="1268">
        <f>'Datos Custos Factura Eléctrica'!$B$6*(365/12)</f>
        <v>1.1696729166666668</v>
      </c>
      <c r="S6" s="1268">
        <f>'Datos Custos Factura Eléctrica'!$B$6*(365/12)</f>
        <v>1.1696729166666668</v>
      </c>
      <c r="T6" s="1268">
        <f>'Datos Custos Factura Eléctrica'!$B$6*(365/12)</f>
        <v>1.1696729166666668</v>
      </c>
      <c r="U6" s="1268">
        <f>'Datos Custos Factura Eléctrica'!$B$6*(365/12)</f>
        <v>1.1696729166666668</v>
      </c>
      <c r="V6" s="1268">
        <f>'Datos Custos Factura Eléctrica'!$B$6*(365/12)</f>
        <v>1.1696729166666668</v>
      </c>
      <c r="W6" s="1268">
        <f>'Datos Custos Factura Eléctrica'!$B$6*(365/12)</f>
        <v>1.1696729166666668</v>
      </c>
      <c r="X6" s="1268">
        <f>'Datos Custos Factura Eléctrica'!$B$6*(365/12)</f>
        <v>1.1696729166666668</v>
      </c>
      <c r="Y6" s="1268">
        <f>'Datos Custos Factura Eléctrica'!$B$6*(365/12)</f>
        <v>1.1696729166666668</v>
      </c>
      <c r="Z6" s="1268">
        <f>'Datos Custos Factura Eléctrica'!$B$6*(365/12)</f>
        <v>1.1696729166666668</v>
      </c>
      <c r="AA6" s="150">
        <f>SUM(B6:Z6)</f>
        <v>29.241822916666663</v>
      </c>
    </row>
    <row r="7" spans="1:27" ht="15" thickBot="1" x14ac:dyDescent="0.4">
      <c r="A7" s="1267" t="s">
        <v>1104</v>
      </c>
      <c r="B7" s="1266">
        <f t="shared" ref="B7:Z7" ca="1" si="0">SUM(B3:B6)</f>
        <v>14.218422916666668</v>
      </c>
      <c r="C7" s="1266">
        <f t="shared" ca="1" si="0"/>
        <v>14.218422916666668</v>
      </c>
      <c r="D7" s="1266">
        <f t="shared" ca="1" si="0"/>
        <v>14.218422916666668</v>
      </c>
      <c r="E7" s="1266">
        <f t="shared" ca="1" si="0"/>
        <v>14.218422916666668</v>
      </c>
      <c r="F7" s="1266">
        <f t="shared" ca="1" si="0"/>
        <v>14.218422916666668</v>
      </c>
      <c r="G7" s="1266">
        <f t="shared" ca="1" si="0"/>
        <v>14.218422916666668</v>
      </c>
      <c r="H7" s="1266">
        <f t="shared" ca="1" si="0"/>
        <v>14.218422916666668</v>
      </c>
      <c r="I7" s="1266">
        <f t="shared" ca="1" si="0"/>
        <v>14.218422916666668</v>
      </c>
      <c r="J7" s="1266">
        <f t="shared" ca="1" si="0"/>
        <v>14.218422916666668</v>
      </c>
      <c r="K7" s="1266">
        <f t="shared" ca="1" si="0"/>
        <v>14.218422916666668</v>
      </c>
      <c r="L7" s="1266">
        <f t="shared" ca="1" si="0"/>
        <v>14.218422916666668</v>
      </c>
      <c r="M7" s="1266">
        <f t="shared" ca="1" si="0"/>
        <v>14.218422916666668</v>
      </c>
      <c r="N7" s="1266">
        <f t="shared" ca="1" si="0"/>
        <v>14.218422916666668</v>
      </c>
      <c r="O7" s="1266">
        <f t="shared" ca="1" si="0"/>
        <v>14.218422916666668</v>
      </c>
      <c r="P7" s="1266">
        <f t="shared" ca="1" si="0"/>
        <v>14.218422916666668</v>
      </c>
      <c r="Q7" s="1266">
        <f t="shared" ca="1" si="0"/>
        <v>14.218422916666668</v>
      </c>
      <c r="R7" s="1266">
        <f t="shared" ca="1" si="0"/>
        <v>14.218422916666668</v>
      </c>
      <c r="S7" s="1266">
        <f t="shared" ca="1" si="0"/>
        <v>14.218422916666668</v>
      </c>
      <c r="T7" s="1266">
        <f t="shared" ca="1" si="0"/>
        <v>14.218422916666668</v>
      </c>
      <c r="U7" s="1266">
        <f t="shared" ca="1" si="0"/>
        <v>14.218422916666668</v>
      </c>
      <c r="V7" s="1266">
        <f t="shared" ca="1" si="0"/>
        <v>14.218422916666668</v>
      </c>
      <c r="W7" s="1266">
        <f t="shared" ca="1" si="0"/>
        <v>14.218422916666668</v>
      </c>
      <c r="X7" s="1266">
        <f t="shared" ca="1" si="0"/>
        <v>14.218422916666668</v>
      </c>
      <c r="Y7" s="1265">
        <f t="shared" ca="1" si="0"/>
        <v>14.218422916666668</v>
      </c>
      <c r="Z7" s="1264">
        <f t="shared" ca="1" si="0"/>
        <v>14.218422916666668</v>
      </c>
      <c r="AA7" s="1264">
        <f ca="1">SUM(B7:Z7)</f>
        <v>355.46057291666671</v>
      </c>
    </row>
    <row r="8" spans="1:27" x14ac:dyDescent="0.35">
      <c r="A8" s="394"/>
      <c r="B8" s="371"/>
      <c r="C8" s="38"/>
    </row>
    <row r="9" spans="1:27" x14ac:dyDescent="0.35">
      <c r="A9" s="394" t="s">
        <v>582</v>
      </c>
      <c r="B9" s="1263">
        <f ca="1">B7*'Simulac. Factura Indiv. Sen CE'!$C$8</f>
        <v>7.1092114583333338E-2</v>
      </c>
      <c r="C9" s="1263">
        <f ca="1">C7*'Simulac. Factura Indiv. Sen CE'!$C$8</f>
        <v>7.1092114583333338E-2</v>
      </c>
      <c r="D9" s="1263">
        <f ca="1">D7*'Simulac. Factura Indiv. Sen CE'!$C$8</f>
        <v>7.1092114583333338E-2</v>
      </c>
      <c r="E9" s="1263">
        <f ca="1">E7*'Simulac. Factura Indiv. Sen CE'!$C$8</f>
        <v>7.1092114583333338E-2</v>
      </c>
      <c r="F9" s="1263">
        <f ca="1">F7*'Simulac. Factura Indiv. Sen CE'!$C$8</f>
        <v>7.1092114583333338E-2</v>
      </c>
      <c r="G9" s="1263">
        <f ca="1">G7*'Simulac. Factura Indiv. Sen CE'!$C$8</f>
        <v>7.1092114583333338E-2</v>
      </c>
      <c r="H9" s="1263">
        <f ca="1">H7*'Simulac. Factura Indiv. Sen CE'!$C$8</f>
        <v>7.1092114583333338E-2</v>
      </c>
      <c r="I9" s="1263">
        <f ca="1">I7*'Simulac. Factura Indiv. Sen CE'!$C$8</f>
        <v>7.1092114583333338E-2</v>
      </c>
      <c r="J9" s="1263">
        <f ca="1">J7*'Simulac. Factura Indiv. Sen CE'!$C$8</f>
        <v>7.1092114583333338E-2</v>
      </c>
      <c r="K9" s="1263">
        <f ca="1">K7*'Simulac. Factura Indiv. Sen CE'!$C$8</f>
        <v>7.1092114583333338E-2</v>
      </c>
      <c r="L9" s="1263">
        <f ca="1">L7*'Simulac. Factura Indiv. Sen CE'!$C$8</f>
        <v>7.1092114583333338E-2</v>
      </c>
      <c r="M9" s="1263">
        <f ca="1">M7*'Simulac. Factura Indiv. Sen CE'!$C$8</f>
        <v>7.1092114583333338E-2</v>
      </c>
      <c r="N9" s="1263">
        <f ca="1">N7*'Simulac. Factura Indiv. Sen CE'!$C$8</f>
        <v>7.1092114583333338E-2</v>
      </c>
      <c r="O9" s="1263">
        <f ca="1">O7*'Simulac. Factura Indiv. Sen CE'!$C$8</f>
        <v>7.1092114583333338E-2</v>
      </c>
      <c r="P9" s="1263">
        <f ca="1">P7*'Simulac. Factura Indiv. Sen CE'!$C$8</f>
        <v>7.1092114583333338E-2</v>
      </c>
      <c r="Q9" s="1263">
        <f ca="1">Q7*'Simulac. Factura Indiv. Sen CE'!$C$8</f>
        <v>7.1092114583333338E-2</v>
      </c>
      <c r="R9" s="1263">
        <f ca="1">R7*'Simulac. Factura Indiv. Sen CE'!$C$8</f>
        <v>7.1092114583333338E-2</v>
      </c>
      <c r="S9" s="1263">
        <f ca="1">S7*'Simulac. Factura Indiv. Sen CE'!$C$8</f>
        <v>7.1092114583333338E-2</v>
      </c>
      <c r="T9" s="1263">
        <f ca="1">T7*'Simulac. Factura Indiv. Sen CE'!$C$8</f>
        <v>7.1092114583333338E-2</v>
      </c>
      <c r="U9" s="1263">
        <f ca="1">U7*'Simulac. Factura Indiv. Sen CE'!$C$8</f>
        <v>7.1092114583333338E-2</v>
      </c>
      <c r="V9" s="1263">
        <f ca="1">V7*'Simulac. Factura Indiv. Sen CE'!$C$8</f>
        <v>7.1092114583333338E-2</v>
      </c>
      <c r="W9" s="1263">
        <f ca="1">W7*'Simulac. Factura Indiv. Sen CE'!$C$8</f>
        <v>7.1092114583333338E-2</v>
      </c>
      <c r="X9" s="1263">
        <f ca="1">X7*'Simulac. Factura Indiv. Sen CE'!$C$8</f>
        <v>7.1092114583333338E-2</v>
      </c>
      <c r="Y9" s="1263">
        <f ca="1">Y7*'Simulac. Factura Indiv. Sen CE'!$C$8</f>
        <v>7.1092114583333338E-2</v>
      </c>
      <c r="Z9" s="1263">
        <f ca="1">Z7*'Simulac. Factura Indiv. Sen CE'!$C$8</f>
        <v>7.1092114583333338E-2</v>
      </c>
      <c r="AA9" s="150">
        <f ca="1">SUM(B9:Z9)</f>
        <v>1.777302864583334</v>
      </c>
    </row>
    <row r="10" spans="1:27" x14ac:dyDescent="0.35">
      <c r="A10" s="394"/>
      <c r="B10" s="371"/>
      <c r="C10" s="38"/>
    </row>
    <row r="11" spans="1:27" x14ac:dyDescent="0.35">
      <c r="A11" s="394" t="s">
        <v>585</v>
      </c>
      <c r="B11" s="1268">
        <f>'Datos Custos Factura Eléctrica'!$B$11*(365/12)</f>
        <v>0.81474083333333336</v>
      </c>
      <c r="C11" s="1268">
        <f>'Datos Custos Factura Eléctrica'!$B$11*(365/12)</f>
        <v>0.81474083333333336</v>
      </c>
      <c r="D11" s="1268">
        <f>'Datos Custos Factura Eléctrica'!$B$11*(365/12)</f>
        <v>0.81474083333333336</v>
      </c>
      <c r="E11" s="1268">
        <f>'Datos Custos Factura Eléctrica'!$B$11*(365/12)</f>
        <v>0.81474083333333336</v>
      </c>
      <c r="F11" s="1268">
        <f>'Datos Custos Factura Eléctrica'!$B$11*(365/12)</f>
        <v>0.81474083333333336</v>
      </c>
      <c r="G11" s="1268">
        <f>'Datos Custos Factura Eléctrica'!$B$11*(365/12)</f>
        <v>0.81474083333333336</v>
      </c>
      <c r="H11" s="1268">
        <f>'Datos Custos Factura Eléctrica'!$B$11*(365/12)</f>
        <v>0.81474083333333336</v>
      </c>
      <c r="I11" s="1268">
        <f>'Datos Custos Factura Eléctrica'!$B$11*(365/12)</f>
        <v>0.81474083333333336</v>
      </c>
      <c r="J11" s="1268">
        <f>'Datos Custos Factura Eléctrica'!$B$11*(365/12)</f>
        <v>0.81474083333333336</v>
      </c>
      <c r="K11" s="1268">
        <f>'Datos Custos Factura Eléctrica'!$B$11*(365/12)</f>
        <v>0.81474083333333336</v>
      </c>
      <c r="L11" s="1268">
        <f>'Datos Custos Factura Eléctrica'!$B$11*(365/12)</f>
        <v>0.81474083333333336</v>
      </c>
      <c r="M11" s="1268">
        <f>'Datos Custos Factura Eléctrica'!$B$11*(365/12)</f>
        <v>0.81474083333333336</v>
      </c>
      <c r="N11" s="1268">
        <f>'Datos Custos Factura Eléctrica'!$B$11*(365/12)</f>
        <v>0.81474083333333336</v>
      </c>
      <c r="O11" s="1268">
        <f>'Datos Custos Factura Eléctrica'!$B$11*(365/12)</f>
        <v>0.81474083333333336</v>
      </c>
      <c r="P11" s="1268">
        <f>'Datos Custos Factura Eléctrica'!$B$11*(365/12)</f>
        <v>0.81474083333333336</v>
      </c>
      <c r="Q11" s="1268">
        <f>'Datos Custos Factura Eléctrica'!$B$11*(365/12)</f>
        <v>0.81474083333333336</v>
      </c>
      <c r="R11" s="1268">
        <f>'Datos Custos Factura Eléctrica'!$B$11*(365/12)</f>
        <v>0.81474083333333336</v>
      </c>
      <c r="S11" s="1268">
        <f>'Datos Custos Factura Eléctrica'!$B$11*(365/12)</f>
        <v>0.81474083333333336</v>
      </c>
      <c r="T11" s="1268">
        <f>'Datos Custos Factura Eléctrica'!$B$11*(365/12)</f>
        <v>0.81474083333333336</v>
      </c>
      <c r="U11" s="1268">
        <f>'Datos Custos Factura Eléctrica'!$B$11*(365/12)</f>
        <v>0.81474083333333336</v>
      </c>
      <c r="V11" s="1268">
        <f>'Datos Custos Factura Eléctrica'!$B$11*(365/12)</f>
        <v>0.81474083333333336</v>
      </c>
      <c r="W11" s="1268">
        <f>'Datos Custos Factura Eléctrica'!$B$11*(365/12)</f>
        <v>0.81474083333333336</v>
      </c>
      <c r="X11" s="1268">
        <f>'Datos Custos Factura Eléctrica'!$B$11*(365/12)</f>
        <v>0.81474083333333336</v>
      </c>
      <c r="Y11" s="1268">
        <f>'Datos Custos Factura Eléctrica'!$B$11*(365/12)</f>
        <v>0.81474083333333336</v>
      </c>
      <c r="Z11" s="1268">
        <f>'Datos Custos Factura Eléctrica'!$B$11*(365/12)</f>
        <v>0.81474083333333336</v>
      </c>
      <c r="AA11" s="150">
        <f>SUM(B11:Z11)</f>
        <v>20.368520833333324</v>
      </c>
    </row>
    <row r="12" spans="1:27" ht="15" thickBot="1" x14ac:dyDescent="0.4">
      <c r="A12" s="394"/>
      <c r="B12" s="371"/>
      <c r="C12" s="38"/>
    </row>
    <row r="13" spans="1:27" ht="15" thickBot="1" x14ac:dyDescent="0.4">
      <c r="A13" s="1267" t="s">
        <v>1103</v>
      </c>
      <c r="B13" s="1266">
        <f t="shared" ref="B13:Z13" ca="1" si="1">B7+B9+B11</f>
        <v>15.104255864583335</v>
      </c>
      <c r="C13" s="1266">
        <f t="shared" ca="1" si="1"/>
        <v>15.104255864583335</v>
      </c>
      <c r="D13" s="1266">
        <f t="shared" ca="1" si="1"/>
        <v>15.104255864583335</v>
      </c>
      <c r="E13" s="1266">
        <f t="shared" ca="1" si="1"/>
        <v>15.104255864583335</v>
      </c>
      <c r="F13" s="1266">
        <f t="shared" ca="1" si="1"/>
        <v>15.104255864583335</v>
      </c>
      <c r="G13" s="1266">
        <f t="shared" ca="1" si="1"/>
        <v>15.104255864583335</v>
      </c>
      <c r="H13" s="1266">
        <f t="shared" ca="1" si="1"/>
        <v>15.104255864583335</v>
      </c>
      <c r="I13" s="1266">
        <f t="shared" ca="1" si="1"/>
        <v>15.104255864583335</v>
      </c>
      <c r="J13" s="1266">
        <f t="shared" ca="1" si="1"/>
        <v>15.104255864583335</v>
      </c>
      <c r="K13" s="1266">
        <f t="shared" ca="1" si="1"/>
        <v>15.104255864583335</v>
      </c>
      <c r="L13" s="1266">
        <f t="shared" ca="1" si="1"/>
        <v>15.104255864583335</v>
      </c>
      <c r="M13" s="1266">
        <f t="shared" ca="1" si="1"/>
        <v>15.104255864583335</v>
      </c>
      <c r="N13" s="1266">
        <f t="shared" ca="1" si="1"/>
        <v>15.104255864583335</v>
      </c>
      <c r="O13" s="1266">
        <f t="shared" ca="1" si="1"/>
        <v>15.104255864583335</v>
      </c>
      <c r="P13" s="1266">
        <f t="shared" ca="1" si="1"/>
        <v>15.104255864583335</v>
      </c>
      <c r="Q13" s="1266">
        <f t="shared" ca="1" si="1"/>
        <v>15.104255864583335</v>
      </c>
      <c r="R13" s="1266">
        <f t="shared" ca="1" si="1"/>
        <v>15.104255864583335</v>
      </c>
      <c r="S13" s="1266">
        <f t="shared" ca="1" si="1"/>
        <v>15.104255864583335</v>
      </c>
      <c r="T13" s="1266">
        <f t="shared" ca="1" si="1"/>
        <v>15.104255864583335</v>
      </c>
      <c r="U13" s="1266">
        <f t="shared" ca="1" si="1"/>
        <v>15.104255864583335</v>
      </c>
      <c r="V13" s="1266">
        <f t="shared" ca="1" si="1"/>
        <v>15.104255864583335</v>
      </c>
      <c r="W13" s="1266">
        <f t="shared" ca="1" si="1"/>
        <v>15.104255864583335</v>
      </c>
      <c r="X13" s="1266">
        <f t="shared" ca="1" si="1"/>
        <v>15.104255864583335</v>
      </c>
      <c r="Y13" s="1265">
        <f t="shared" ca="1" si="1"/>
        <v>15.104255864583335</v>
      </c>
      <c r="Z13" s="1264">
        <f t="shared" ca="1" si="1"/>
        <v>15.104255864583335</v>
      </c>
      <c r="AA13" s="1264">
        <f ca="1">SUM(B13:Z13)</f>
        <v>377.60639661458316</v>
      </c>
    </row>
    <row r="14" spans="1:27" x14ac:dyDescent="0.35">
      <c r="A14" s="394"/>
      <c r="B14" s="371"/>
      <c r="C14" s="38"/>
    </row>
    <row r="15" spans="1:27" x14ac:dyDescent="0.35">
      <c r="A15" s="394" t="s">
        <v>1102</v>
      </c>
      <c r="B15" s="1263">
        <f ca="1">'Simulac. Factura Indiv. Sen CE'!$C$14*B13</f>
        <v>3.1718937315625002</v>
      </c>
      <c r="C15" s="1263">
        <f ca="1">'Simulac. Factura Indiv. Sen CE'!$C$14*C13</f>
        <v>3.1718937315625002</v>
      </c>
      <c r="D15" s="1263">
        <f ca="1">'Simulac. Factura Indiv. Sen CE'!$C$14*D13</f>
        <v>3.1718937315625002</v>
      </c>
      <c r="E15" s="1263">
        <f ca="1">'Simulac. Factura Indiv. Sen CE'!$C$14*E13</f>
        <v>3.1718937315625002</v>
      </c>
      <c r="F15" s="1263">
        <f ca="1">'Simulac. Factura Indiv. Sen CE'!$C$14*F13</f>
        <v>3.1718937315625002</v>
      </c>
      <c r="G15" s="1263">
        <f ca="1">'Simulac. Factura Indiv. Sen CE'!$C$14*G13</f>
        <v>3.1718937315625002</v>
      </c>
      <c r="H15" s="1263">
        <f ca="1">'Simulac. Factura Indiv. Sen CE'!$C$14*H13</f>
        <v>3.1718937315625002</v>
      </c>
      <c r="I15" s="1263">
        <f ca="1">'Simulac. Factura Indiv. Sen CE'!$C$14*I13</f>
        <v>3.1718937315625002</v>
      </c>
      <c r="J15" s="1263">
        <f ca="1">'Simulac. Factura Indiv. Sen CE'!$C$14*J13</f>
        <v>3.1718937315625002</v>
      </c>
      <c r="K15" s="1263">
        <f ca="1">'Simulac. Factura Indiv. Sen CE'!$C$14*K13</f>
        <v>3.1718937315625002</v>
      </c>
      <c r="L15" s="1263">
        <f ca="1">'Simulac. Factura Indiv. Sen CE'!$C$14*L13</f>
        <v>3.1718937315625002</v>
      </c>
      <c r="M15" s="1263">
        <f ca="1">'Simulac. Factura Indiv. Sen CE'!$C$14*M13</f>
        <v>3.1718937315625002</v>
      </c>
      <c r="N15" s="1263">
        <f ca="1">'Simulac. Factura Indiv. Sen CE'!$C$14*N13</f>
        <v>3.1718937315625002</v>
      </c>
      <c r="O15" s="1263">
        <f ca="1">'Simulac. Factura Indiv. Sen CE'!$C$14*O13</f>
        <v>3.1718937315625002</v>
      </c>
      <c r="P15" s="1263">
        <f ca="1">'Simulac. Factura Indiv. Sen CE'!$C$14*P13</f>
        <v>3.1718937315625002</v>
      </c>
      <c r="Q15" s="1263">
        <f ca="1">'Simulac. Factura Indiv. Sen CE'!$C$14*Q13</f>
        <v>3.1718937315625002</v>
      </c>
      <c r="R15" s="1263">
        <f ca="1">'Simulac. Factura Indiv. Sen CE'!$C$14*R13</f>
        <v>3.1718937315625002</v>
      </c>
      <c r="S15" s="1263">
        <f ca="1">'Simulac. Factura Indiv. Sen CE'!$C$14*S13</f>
        <v>3.1718937315625002</v>
      </c>
      <c r="T15" s="1263">
        <f ca="1">'Simulac. Factura Indiv. Sen CE'!$C$14*T13</f>
        <v>3.1718937315625002</v>
      </c>
      <c r="U15" s="1263">
        <f ca="1">'Simulac. Factura Indiv. Sen CE'!$C$14*U13</f>
        <v>3.1718937315625002</v>
      </c>
      <c r="V15" s="1263">
        <f ca="1">'Simulac. Factura Indiv. Sen CE'!$C$14*V13</f>
        <v>3.1718937315625002</v>
      </c>
      <c r="W15" s="1263">
        <f ca="1">'Simulac. Factura Indiv. Sen CE'!$C$14*W13</f>
        <v>3.1718937315625002</v>
      </c>
      <c r="X15" s="1263">
        <f ca="1">'Simulac. Factura Indiv. Sen CE'!$C$14*X13</f>
        <v>3.1718937315625002</v>
      </c>
      <c r="Y15" s="1263">
        <f ca="1">'Simulac. Factura Indiv. Sen CE'!$C$14*Y13</f>
        <v>3.1718937315625002</v>
      </c>
      <c r="Z15" s="1263">
        <f ca="1">'Simulac. Factura Indiv. Sen CE'!$C$14*Z13</f>
        <v>3.1718937315625002</v>
      </c>
      <c r="AA15" s="150">
        <f ca="1">SUM(B15:Z15)</f>
        <v>79.297343289062511</v>
      </c>
    </row>
    <row r="16" spans="1:27" ht="15" thickBot="1" x14ac:dyDescent="0.4">
      <c r="A16" s="394"/>
      <c r="B16" s="371"/>
      <c r="C16" s="38"/>
    </row>
    <row r="17" spans="1:27" ht="15" thickBot="1" x14ac:dyDescent="0.4">
      <c r="A17" s="1262" t="s">
        <v>1101</v>
      </c>
      <c r="B17" s="1261">
        <f t="shared" ref="B17:Z17" ca="1" si="2">B13+B15</f>
        <v>18.276149596145835</v>
      </c>
      <c r="C17" s="1261">
        <f t="shared" ca="1" si="2"/>
        <v>18.276149596145835</v>
      </c>
      <c r="D17" s="1261">
        <f t="shared" ca="1" si="2"/>
        <v>18.276149596145835</v>
      </c>
      <c r="E17" s="1261">
        <f t="shared" ca="1" si="2"/>
        <v>18.276149596145835</v>
      </c>
      <c r="F17" s="1261">
        <f t="shared" ca="1" si="2"/>
        <v>18.276149596145835</v>
      </c>
      <c r="G17" s="1261">
        <f t="shared" ca="1" si="2"/>
        <v>18.276149596145835</v>
      </c>
      <c r="H17" s="1261">
        <f t="shared" ca="1" si="2"/>
        <v>18.276149596145835</v>
      </c>
      <c r="I17" s="1261">
        <f t="shared" ca="1" si="2"/>
        <v>18.276149596145835</v>
      </c>
      <c r="J17" s="1261">
        <f t="shared" ca="1" si="2"/>
        <v>18.276149596145835</v>
      </c>
      <c r="K17" s="1261">
        <f t="shared" ca="1" si="2"/>
        <v>18.276149596145835</v>
      </c>
      <c r="L17" s="1261">
        <f t="shared" ca="1" si="2"/>
        <v>18.276149596145835</v>
      </c>
      <c r="M17" s="1261">
        <f t="shared" ca="1" si="2"/>
        <v>18.276149596145835</v>
      </c>
      <c r="N17" s="1261">
        <f t="shared" ca="1" si="2"/>
        <v>18.276149596145835</v>
      </c>
      <c r="O17" s="1261">
        <f t="shared" ca="1" si="2"/>
        <v>18.276149596145835</v>
      </c>
      <c r="P17" s="1261">
        <f t="shared" ca="1" si="2"/>
        <v>18.276149596145835</v>
      </c>
      <c r="Q17" s="1261">
        <f t="shared" ca="1" si="2"/>
        <v>18.276149596145835</v>
      </c>
      <c r="R17" s="1261">
        <f t="shared" ca="1" si="2"/>
        <v>18.276149596145835</v>
      </c>
      <c r="S17" s="1261">
        <f t="shared" ca="1" si="2"/>
        <v>18.276149596145835</v>
      </c>
      <c r="T17" s="1261">
        <f t="shared" ca="1" si="2"/>
        <v>18.276149596145835</v>
      </c>
      <c r="U17" s="1261">
        <f t="shared" ca="1" si="2"/>
        <v>18.276149596145835</v>
      </c>
      <c r="V17" s="1261">
        <f t="shared" ca="1" si="2"/>
        <v>18.276149596145835</v>
      </c>
      <c r="W17" s="1261">
        <f t="shared" ca="1" si="2"/>
        <v>18.276149596145835</v>
      </c>
      <c r="X17" s="1261">
        <f t="shared" ca="1" si="2"/>
        <v>18.276149596145835</v>
      </c>
      <c r="Y17" s="1261">
        <f t="shared" ca="1" si="2"/>
        <v>18.276149596145835</v>
      </c>
      <c r="Z17" s="1260">
        <f t="shared" ca="1" si="2"/>
        <v>18.276149596145835</v>
      </c>
      <c r="AA17" s="1259">
        <f ca="1">SUM(B17:Z17)</f>
        <v>456.903739903646</v>
      </c>
    </row>
    <row r="18" spans="1:27" x14ac:dyDescent="0.35">
      <c r="B18" s="371"/>
      <c r="C18" s="38"/>
    </row>
    <row r="19" spans="1:27" x14ac:dyDescent="0.35">
      <c r="B19" s="371"/>
      <c r="C19" s="38"/>
    </row>
    <row r="20" spans="1:27" x14ac:dyDescent="0.35">
      <c r="B20" s="371"/>
      <c r="C20" s="38"/>
    </row>
    <row r="21" spans="1:27" x14ac:dyDescent="0.35">
      <c r="B21" s="371"/>
      <c r="C21" s="38"/>
    </row>
    <row r="22" spans="1:27" x14ac:dyDescent="0.35">
      <c r="B22" s="371"/>
      <c r="C22" s="38"/>
    </row>
    <row r="23" spans="1:27" x14ac:dyDescent="0.35">
      <c r="B23" s="371"/>
      <c r="C23" s="38"/>
    </row>
    <row r="24" spans="1:27" x14ac:dyDescent="0.35">
      <c r="B24" s="371"/>
      <c r="C24" s="38"/>
    </row>
    <row r="25" spans="1:27" x14ac:dyDescent="0.35">
      <c r="B25" s="371"/>
      <c r="C25" s="38"/>
    </row>
    <row r="26" spans="1:27" x14ac:dyDescent="0.35">
      <c r="B26" s="371"/>
      <c r="C26" s="1258"/>
    </row>
  </sheetData>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E5413-F769-4D17-8FA3-CDB2F56CB72A}">
  <dimension ref="A1:AA12"/>
  <sheetViews>
    <sheetView topLeftCell="A2" workbookViewId="0">
      <selection activeCell="F2" sqref="F2"/>
    </sheetView>
  </sheetViews>
  <sheetFormatPr baseColWidth="10" defaultColWidth="11.54296875" defaultRowHeight="14.5" x14ac:dyDescent="0.35"/>
  <cols>
    <col min="1" max="1" width="41.90625" customWidth="1"/>
  </cols>
  <sheetData>
    <row r="1" spans="1:27" ht="29.5" thickBot="1" x14ac:dyDescent="0.4">
      <c r="A1" s="1343" t="s">
        <v>1156</v>
      </c>
      <c r="B1" s="1342">
        <v>1</v>
      </c>
      <c r="C1" s="1342">
        <v>2</v>
      </c>
      <c r="D1" s="1342">
        <v>3</v>
      </c>
      <c r="E1" s="1342">
        <v>4</v>
      </c>
      <c r="F1" s="1342">
        <v>5</v>
      </c>
      <c r="G1" s="1342">
        <v>6</v>
      </c>
      <c r="H1" s="1342">
        <v>7</v>
      </c>
      <c r="I1" s="1342">
        <v>8</v>
      </c>
      <c r="J1" s="1342">
        <v>9</v>
      </c>
      <c r="K1" s="1342">
        <v>10</v>
      </c>
      <c r="L1" s="1342">
        <v>11</v>
      </c>
      <c r="M1" s="1342">
        <v>12</v>
      </c>
      <c r="N1" s="1342">
        <v>13</v>
      </c>
      <c r="O1" s="1342">
        <v>14</v>
      </c>
      <c r="P1" s="1342">
        <v>15</v>
      </c>
      <c r="Q1" s="1342">
        <v>16</v>
      </c>
      <c r="R1" s="1342">
        <v>17</v>
      </c>
      <c r="S1" s="1342">
        <v>18</v>
      </c>
      <c r="T1" s="1342">
        <v>19</v>
      </c>
      <c r="U1" s="1342">
        <v>20</v>
      </c>
      <c r="V1" s="1342">
        <v>21</v>
      </c>
      <c r="W1" s="1342">
        <v>22</v>
      </c>
      <c r="X1" s="1342">
        <v>23</v>
      </c>
      <c r="Y1" s="1342">
        <v>24</v>
      </c>
      <c r="Z1" s="1342">
        <v>25</v>
      </c>
      <c r="AA1" s="1341" t="s">
        <v>1184</v>
      </c>
    </row>
    <row r="2" spans="1:27" x14ac:dyDescent="0.35">
      <c r="A2" s="65" t="s">
        <v>568</v>
      </c>
    </row>
    <row r="3" spans="1:27" x14ac:dyDescent="0.35">
      <c r="A3" s="778" t="s">
        <v>1183</v>
      </c>
      <c r="B3" s="1027">
        <f ca="1">'Factura Socios Con CE'!B17-'Factura Socios Sen CE'!B17</f>
        <v>-9.4851899999999993</v>
      </c>
      <c r="C3" s="1027">
        <f ca="1">'Factura Socios Con CE'!C17-'Factura Socios Sen CE'!C17</f>
        <v>-7.9043250000000036</v>
      </c>
      <c r="D3" s="1027">
        <f ca="1">'Factura Socios Con CE'!D17-'Factura Socios Sen CE'!D17</f>
        <v>-26.388284999999996</v>
      </c>
      <c r="E3" s="1027">
        <f ca="1">'Factura Socios Con CE'!E17-'Factura Socios Sen CE'!E17</f>
        <v>-20.308035000000004</v>
      </c>
      <c r="F3" s="1027">
        <f ca="1">'Factura Socios Con CE'!F17-'Factura Socios Sen CE'!F17</f>
        <v>-14.957415000000012</v>
      </c>
      <c r="G3" s="1027">
        <f ca="1">'Factura Socios Con CE'!G17-'Factura Socios Sen CE'!G17</f>
        <v>-31.495695000000012</v>
      </c>
      <c r="H3" s="1027">
        <f ca="1">'Factura Socios Con CE'!H17-'Factura Socios Sen CE'!H17</f>
        <v>-14.106180000000002</v>
      </c>
      <c r="I3" s="1027">
        <f ca="1">'Factura Socios Con CE'!I17-'Factura Socios Sen CE'!I17</f>
        <v>-12.586117500000004</v>
      </c>
      <c r="J3" s="1027">
        <f ca="1">'Factura Socios Con CE'!J17-'Factura Socios Sen CE'!J17</f>
        <v>-8.4515475000000038</v>
      </c>
      <c r="K3" s="1027">
        <f ca="1">'Factura Socios Con CE'!K17-'Factura Socios Sen CE'!K17</f>
        <v>-17.997540000000008</v>
      </c>
      <c r="L3" s="1027">
        <f ca="1">'Factura Socios Con CE'!L17-'Factura Socios Sen CE'!L17</f>
        <v>-7.2962999999999987</v>
      </c>
      <c r="M3" s="1027">
        <f ca="1">'Factura Socios Con CE'!M17-'Factura Socios Sen CE'!M17</f>
        <v>-17.085502500000011</v>
      </c>
      <c r="N3" s="1027">
        <f ca="1">'Factura Socios Con CE'!N17-'Factura Socios Sen CE'!N17</f>
        <v>-4.8033975000000062</v>
      </c>
      <c r="O3" s="1027">
        <f ca="1">'Factura Socios Con CE'!O17-'Factura Socios Sen CE'!O17</f>
        <v>-11.8564875</v>
      </c>
      <c r="P3" s="1027">
        <f ca="1">'Factura Socios Con CE'!P17-'Factura Socios Sen CE'!P17</f>
        <v>-18.058342500000002</v>
      </c>
      <c r="Q3" s="1027">
        <f ca="1">'Factura Socios Con CE'!Q17-'Factura Socios Sen CE'!Q17</f>
        <v>-31.921312500000013</v>
      </c>
      <c r="R3" s="1027">
        <f ca="1">'Factura Socios Con CE'!R17-'Factura Socios Sen CE'!R17</f>
        <v>-29.489212499999994</v>
      </c>
      <c r="S3" s="1027">
        <f ca="1">'Factura Socios Con CE'!S17-'Factura Socios Sen CE'!S17</f>
        <v>-20.125627500000007</v>
      </c>
      <c r="T3" s="1027">
        <f ca="1">'Factura Socios Con CE'!T17-'Factura Socios Sen CE'!T17</f>
        <v>-8.6339550000000003</v>
      </c>
      <c r="U3" s="1027">
        <f ca="1">'Factura Socios Con CE'!U17-'Factura Socios Sen CE'!U17</f>
        <v>-19.152787500000002</v>
      </c>
      <c r="V3" s="1027">
        <f ca="1">'Factura Socios Con CE'!V17-'Factura Socios Sen CE'!V17</f>
        <v>-10.94445</v>
      </c>
      <c r="W3" s="1027">
        <f ca="1">'Factura Socios Con CE'!W17-'Factura Socios Sen CE'!W17</f>
        <v>-9.0595725000000051</v>
      </c>
      <c r="X3" s="1027">
        <f ca="1">'Factura Socios Con CE'!X17-'Factura Socios Sen CE'!X17</f>
        <v>-19.578405000000004</v>
      </c>
      <c r="Y3" s="1027">
        <f ca="1">'Factura Socios Con CE'!Y17-'Factura Socios Sen CE'!Y17</f>
        <v>-17.936737499999992</v>
      </c>
      <c r="Z3" s="1027">
        <f ca="1">'Factura Socios Con CE'!Z17-'Factura Socios Sen CE'!Z17</f>
        <v>-4.8033975000000062</v>
      </c>
      <c r="AA3" s="1105">
        <f ca="1">SUM(B3:Z3)</f>
        <v>-394.42581750000022</v>
      </c>
    </row>
    <row r="4" spans="1:27" x14ac:dyDescent="0.35">
      <c r="A4" s="1340" t="s">
        <v>1182</v>
      </c>
    </row>
    <row r="6" spans="1:27" ht="29" x14ac:dyDescent="0.35">
      <c r="A6" s="1339" t="s">
        <v>1181</v>
      </c>
      <c r="B6" s="1338">
        <f ca="1">'Factura Socios Con CE'!B27</f>
        <v>3.9000000000000004</v>
      </c>
      <c r="C6" s="1337">
        <f ca="1">'Factura Socios Con CE'!C27</f>
        <v>3.25</v>
      </c>
      <c r="D6" s="1337">
        <f ca="1">'Factura Socios Con CE'!D27</f>
        <v>10.850000000000001</v>
      </c>
      <c r="E6" s="1337">
        <f ca="1">'Factura Socios Con CE'!E27</f>
        <v>8.35</v>
      </c>
      <c r="F6" s="1337">
        <f ca="1">'Factura Socios Con CE'!F27</f>
        <v>6.15</v>
      </c>
      <c r="G6" s="1337">
        <f ca="1">'Factura Socios Con CE'!G27</f>
        <v>12.950000000000001</v>
      </c>
      <c r="H6" s="1337">
        <f ca="1">'Factura Socios Con CE'!H27</f>
        <v>5.8000000000000007</v>
      </c>
      <c r="I6" s="1337">
        <f ca="1">'Factura Socios Con CE'!I27</f>
        <v>5.1750000000000007</v>
      </c>
      <c r="J6" s="1337">
        <f ca="1">'Factura Socios Con CE'!J27</f>
        <v>3.4750000000000001</v>
      </c>
      <c r="K6" s="1337">
        <f ca="1">'Factura Socios Con CE'!K27</f>
        <v>7.4</v>
      </c>
      <c r="L6" s="1337">
        <f ca="1">'Factura Socios Con CE'!L27</f>
        <v>3</v>
      </c>
      <c r="M6" s="1337">
        <f ca="1">'Factura Socios Con CE'!M27</f>
        <v>7.0250000000000004</v>
      </c>
      <c r="N6" s="1337">
        <f ca="1">'Factura Socios Con CE'!N27</f>
        <v>1.9750000000000001</v>
      </c>
      <c r="O6" s="1337">
        <f ca="1">'Factura Socios Con CE'!O27</f>
        <v>4.875</v>
      </c>
      <c r="P6" s="1337">
        <f ca="1">'Factura Socios Con CE'!P27</f>
        <v>7.4250000000000007</v>
      </c>
      <c r="Q6" s="1337">
        <f ca="1">'Factura Socios Con CE'!Q27</f>
        <v>13.125</v>
      </c>
      <c r="R6" s="1337">
        <f ca="1">'Factura Socios Con CE'!R27</f>
        <v>12.125</v>
      </c>
      <c r="S6" s="1337">
        <f ca="1">'Factura Socios Con CE'!S27</f>
        <v>8.2750000000000004</v>
      </c>
      <c r="T6" s="1337">
        <f ca="1">'Factura Socios Con CE'!T27</f>
        <v>3.5500000000000003</v>
      </c>
      <c r="U6" s="1337">
        <f ca="1">'Factura Socios Con CE'!U27</f>
        <v>7.875</v>
      </c>
      <c r="V6" s="1337">
        <f ca="1">'Factura Socios Con CE'!V27</f>
        <v>4.5</v>
      </c>
      <c r="W6" s="1337">
        <f ca="1">'Factura Socios Con CE'!W27</f>
        <v>3.7250000000000001</v>
      </c>
      <c r="X6" s="1337">
        <f ca="1">'Factura Socios Con CE'!X27</f>
        <v>8.0500000000000007</v>
      </c>
      <c r="Y6" s="1337">
        <f ca="1">'Factura Socios Con CE'!Y27</f>
        <v>7.375</v>
      </c>
      <c r="Z6" s="1336">
        <f ca="1">'Factura Socios Con CE'!Z27</f>
        <v>1.9750000000000001</v>
      </c>
      <c r="AA6" s="1074">
        <f ca="1">SUM(B6:Z6)</f>
        <v>162.17500000000001</v>
      </c>
    </row>
    <row r="7" spans="1:27" ht="29" x14ac:dyDescent="0.35">
      <c r="A7" s="1051" t="s">
        <v>1180</v>
      </c>
      <c r="B7" s="1328">
        <f ca="1">'Factura Socios Con CE'!B28</f>
        <v>0</v>
      </c>
      <c r="C7" s="1327">
        <f ca="1">'Factura Socios Con CE'!C28</f>
        <v>0</v>
      </c>
      <c r="D7" s="1327">
        <f ca="1">'Factura Socios Con CE'!D28</f>
        <v>0</v>
      </c>
      <c r="E7" s="1327">
        <f ca="1">'Factura Socios Con CE'!E28</f>
        <v>0</v>
      </c>
      <c r="F7" s="1327">
        <f ca="1">'Factura Socios Con CE'!F28</f>
        <v>0</v>
      </c>
      <c r="G7" s="1327">
        <f ca="1">'Factura Socios Con CE'!G28</f>
        <v>0</v>
      </c>
      <c r="H7" s="1327">
        <f ca="1">'Factura Socios Con CE'!H28</f>
        <v>0</v>
      </c>
      <c r="I7" s="1327">
        <f ca="1">'Factura Socios Con CE'!I28</f>
        <v>0</v>
      </c>
      <c r="J7" s="1327">
        <f ca="1">'Factura Socios Con CE'!J28</f>
        <v>0</v>
      </c>
      <c r="K7" s="1327">
        <f ca="1">'Factura Socios Con CE'!K28</f>
        <v>0</v>
      </c>
      <c r="L7" s="1327">
        <f ca="1">'Factura Socios Con CE'!L28</f>
        <v>0</v>
      </c>
      <c r="M7" s="1327">
        <f ca="1">'Factura Socios Con CE'!M28</f>
        <v>0</v>
      </c>
      <c r="N7" s="1327">
        <f ca="1">'Factura Socios Con CE'!N28</f>
        <v>0</v>
      </c>
      <c r="O7" s="1327">
        <f ca="1">'Factura Socios Con CE'!O28</f>
        <v>0</v>
      </c>
      <c r="P7" s="1327">
        <f ca="1">'Factura Socios Con CE'!P28</f>
        <v>0</v>
      </c>
      <c r="Q7" s="1327">
        <f ca="1">'Factura Socios Con CE'!Q28</f>
        <v>0</v>
      </c>
      <c r="R7" s="1327">
        <f ca="1">'Factura Socios Con CE'!R28</f>
        <v>0</v>
      </c>
      <c r="S7" s="1327">
        <f ca="1">'Factura Socios Con CE'!S28</f>
        <v>0</v>
      </c>
      <c r="T7" s="1327">
        <f ca="1">'Factura Socios Con CE'!T28</f>
        <v>0</v>
      </c>
      <c r="U7" s="1327">
        <f ca="1">'Factura Socios Con CE'!U28</f>
        <v>0</v>
      </c>
      <c r="V7" s="1327">
        <f ca="1">'Factura Socios Con CE'!V28</f>
        <v>0</v>
      </c>
      <c r="W7" s="1327">
        <f ca="1">'Factura Socios Con CE'!W28</f>
        <v>0</v>
      </c>
      <c r="X7" s="1327">
        <f ca="1">'Factura Socios Con CE'!X28</f>
        <v>0</v>
      </c>
      <c r="Y7" s="1327">
        <f ca="1">'Factura Socios Con CE'!Y28</f>
        <v>0</v>
      </c>
      <c r="Z7" s="1326">
        <f ca="1">'Factura Socios Con CE'!Z28</f>
        <v>0</v>
      </c>
      <c r="AA7" s="1074">
        <f ca="1">SUM(B7:Z7)</f>
        <v>0</v>
      </c>
    </row>
    <row r="8" spans="1:27" ht="15" thickBot="1" x14ac:dyDescent="0.4"/>
    <row r="9" spans="1:27" ht="15.5" thickTop="1" thickBot="1" x14ac:dyDescent="0.4">
      <c r="A9" s="1210" t="s">
        <v>1179</v>
      </c>
      <c r="B9" s="1335">
        <f t="shared" ref="B9:Z9" ca="1" si="0">-B3+B6+B7</f>
        <v>13.38519</v>
      </c>
      <c r="C9" s="1334">
        <f t="shared" ca="1" si="0"/>
        <v>11.154325000000004</v>
      </c>
      <c r="D9" s="1334">
        <f t="shared" ca="1" si="0"/>
        <v>37.238284999999998</v>
      </c>
      <c r="E9" s="1334">
        <f t="shared" ca="1" si="0"/>
        <v>28.658035000000005</v>
      </c>
      <c r="F9" s="1334">
        <f t="shared" ca="1" si="0"/>
        <v>21.10741500000001</v>
      </c>
      <c r="G9" s="1334">
        <f t="shared" ca="1" si="0"/>
        <v>44.445695000000015</v>
      </c>
      <c r="H9" s="1334">
        <f t="shared" ca="1" si="0"/>
        <v>19.906180000000003</v>
      </c>
      <c r="I9" s="1334">
        <f t="shared" ca="1" si="0"/>
        <v>17.761117500000005</v>
      </c>
      <c r="J9" s="1334">
        <f t="shared" ca="1" si="0"/>
        <v>11.926547500000003</v>
      </c>
      <c r="K9" s="1334">
        <f t="shared" ca="1" si="0"/>
        <v>25.397540000000006</v>
      </c>
      <c r="L9" s="1334">
        <f t="shared" ca="1" si="0"/>
        <v>10.296299999999999</v>
      </c>
      <c r="M9" s="1334">
        <f t="shared" ca="1" si="0"/>
        <v>24.11050250000001</v>
      </c>
      <c r="N9" s="1334">
        <f t="shared" ca="1" si="0"/>
        <v>6.7783975000000058</v>
      </c>
      <c r="O9" s="1334">
        <f t="shared" ca="1" si="0"/>
        <v>16.7314875</v>
      </c>
      <c r="P9" s="1334">
        <f t="shared" ca="1" si="0"/>
        <v>25.483342500000003</v>
      </c>
      <c r="Q9" s="1334">
        <f t="shared" ca="1" si="0"/>
        <v>45.046312500000013</v>
      </c>
      <c r="R9" s="1334">
        <f t="shared" ca="1" si="0"/>
        <v>41.614212499999994</v>
      </c>
      <c r="S9" s="1334">
        <f t="shared" ca="1" si="0"/>
        <v>28.400627500000006</v>
      </c>
      <c r="T9" s="1334">
        <f t="shared" ca="1" si="0"/>
        <v>12.183955000000001</v>
      </c>
      <c r="U9" s="1334">
        <f t="shared" ca="1" si="0"/>
        <v>27.027787500000002</v>
      </c>
      <c r="V9" s="1334">
        <f t="shared" ca="1" si="0"/>
        <v>15.44445</v>
      </c>
      <c r="W9" s="1334">
        <f t="shared" ca="1" si="0"/>
        <v>12.784572500000005</v>
      </c>
      <c r="X9" s="1334">
        <f t="shared" ca="1" si="0"/>
        <v>27.628405000000004</v>
      </c>
      <c r="Y9" s="1334">
        <f t="shared" ca="1" si="0"/>
        <v>25.311737499999992</v>
      </c>
      <c r="Z9" s="1333">
        <f t="shared" ca="1" si="0"/>
        <v>6.7783975000000058</v>
      </c>
      <c r="AA9" s="1158">
        <f ca="1">SUM(B9:Z9)</f>
        <v>556.60081750000018</v>
      </c>
    </row>
    <row r="10" spans="1:27" ht="29.5" thickBot="1" x14ac:dyDescent="0.4">
      <c r="A10" s="1332" t="str">
        <f>'Resultado Socios'!A3</f>
        <v>Impacto Económico Positivo Total Preciso (Mensual)</v>
      </c>
      <c r="B10" s="1018">
        <f ca="1">'Resultado Socios'!B$3</f>
        <v>11.959552959614584</v>
      </c>
      <c r="C10" s="1331">
        <f ca="1">'Resultado Socios'!C$3</f>
        <v>11.643379959614583</v>
      </c>
      <c r="D10" s="1331">
        <f ca="1">'Resultado Socios'!D$3</f>
        <v>15.340171959614583</v>
      </c>
      <c r="E10" s="1331">
        <f ca="1">'Resultado Socios'!E$3</f>
        <v>14.124121959614584</v>
      </c>
      <c r="F10" s="1331">
        <f ca="1">'Resultado Socios'!F$3</f>
        <v>13.053997959614584</v>
      </c>
      <c r="G10" s="1331">
        <f ca="1">'Resultado Socios'!G$3</f>
        <v>16.361653959614586</v>
      </c>
      <c r="H10" s="1331">
        <f ca="1">'Resultado Socios'!H$3</f>
        <v>12.883750959614584</v>
      </c>
      <c r="I10" s="1331">
        <f ca="1">'Resultado Socios'!I$3</f>
        <v>12.579738459614584</v>
      </c>
      <c r="J10" s="1331">
        <f ca="1">'Resultado Socios'!J$3</f>
        <v>11.752824459614583</v>
      </c>
      <c r="K10" s="1331">
        <f ca="1">'Resultado Socios'!K$3</f>
        <v>13.662022959614585</v>
      </c>
      <c r="L10" s="1331">
        <f ca="1">'Resultado Socios'!L$3</f>
        <v>11.521774959614582</v>
      </c>
      <c r="M10" s="1331">
        <f ca="1">'Resultado Socios'!M$3</f>
        <v>13.479615459614585</v>
      </c>
      <c r="N10" s="1331">
        <f ca="1">'Resultado Socios'!N$3</f>
        <v>11.023194459614583</v>
      </c>
      <c r="O10" s="1331">
        <f ca="1">'Resultado Socios'!O$3</f>
        <v>12.433812459614582</v>
      </c>
      <c r="P10" s="1331">
        <f ca="1">'Resultado Socios'!P$3</f>
        <v>13.674183459614584</v>
      </c>
      <c r="Q10" s="1331">
        <f ca="1">'Resultado Socios'!Q$3</f>
        <v>16.446777459614584</v>
      </c>
      <c r="R10" s="1331">
        <f ca="1">'Resultado Socios'!R$3</f>
        <v>15.960357459614583</v>
      </c>
      <c r="S10" s="1331">
        <f ca="1">'Resultado Socios'!S$3</f>
        <v>14.087640459614583</v>
      </c>
      <c r="T10" s="1331">
        <f ca="1">'Resultado Socios'!T$3</f>
        <v>11.789305959614584</v>
      </c>
      <c r="U10" s="1331">
        <f ca="1">'Resultado Socios'!U$3</f>
        <v>13.893072459614583</v>
      </c>
      <c r="V10" s="1331">
        <f ca="1">'Resultado Socios'!V$3</f>
        <v>12.251404959614582</v>
      </c>
      <c r="W10" s="1331">
        <f ca="1">'Resultado Socios'!W$3</f>
        <v>11.874429459614584</v>
      </c>
      <c r="X10" s="1331">
        <f ca="1">'Resultado Socios'!X$3</f>
        <v>13.978195959614585</v>
      </c>
      <c r="Y10" s="1331">
        <f ca="1">'Resultado Socios'!Y$3</f>
        <v>13.649862459614582</v>
      </c>
      <c r="Z10" s="1330">
        <f ca="1">'Resultado Socios'!Z$3</f>
        <v>11.023194459614583</v>
      </c>
      <c r="AA10" s="1329">
        <f ca="1">SUM(B10:Z10)</f>
        <v>330.4480374903647</v>
      </c>
    </row>
    <row r="12" spans="1:27" ht="29" x14ac:dyDescent="0.35">
      <c r="A12" s="1051" t="s">
        <v>1178</v>
      </c>
      <c r="B12" s="1328">
        <f t="shared" ref="B12:Z12" ca="1" si="1">B9-B10</f>
        <v>1.4256370403854159</v>
      </c>
      <c r="C12" s="1327">
        <f t="shared" ca="1" si="1"/>
        <v>-0.48905495961457923</v>
      </c>
      <c r="D12" s="1327">
        <f t="shared" ca="1" si="1"/>
        <v>21.898113040385415</v>
      </c>
      <c r="E12" s="1327">
        <f t="shared" ca="1" si="1"/>
        <v>14.533913040385421</v>
      </c>
      <c r="F12" s="1327">
        <f t="shared" ca="1" si="1"/>
        <v>8.0534170403854262</v>
      </c>
      <c r="G12" s="1327">
        <f t="shared" ca="1" si="1"/>
        <v>28.084041040385429</v>
      </c>
      <c r="H12" s="1327">
        <f t="shared" ca="1" si="1"/>
        <v>7.0224290403854184</v>
      </c>
      <c r="I12" s="1327">
        <f t="shared" ca="1" si="1"/>
        <v>5.181379040385421</v>
      </c>
      <c r="J12" s="1327">
        <f t="shared" ca="1" si="1"/>
        <v>0.17372304038542019</v>
      </c>
      <c r="K12" s="1327">
        <f t="shared" ca="1" si="1"/>
        <v>11.735517040385421</v>
      </c>
      <c r="L12" s="1327">
        <f t="shared" ca="1" si="1"/>
        <v>-1.2254749596145835</v>
      </c>
      <c r="M12" s="1327">
        <f t="shared" ca="1" si="1"/>
        <v>10.630887040385424</v>
      </c>
      <c r="N12" s="1327">
        <f t="shared" ca="1" si="1"/>
        <v>-4.2447969596145771</v>
      </c>
      <c r="O12" s="1327">
        <f t="shared" ca="1" si="1"/>
        <v>4.2976750403854176</v>
      </c>
      <c r="P12" s="1327">
        <f t="shared" ca="1" si="1"/>
        <v>11.809159040385419</v>
      </c>
      <c r="Q12" s="1327">
        <f t="shared" ca="1" si="1"/>
        <v>28.59953504038543</v>
      </c>
      <c r="R12" s="1327">
        <f t="shared" ca="1" si="1"/>
        <v>25.653855040385409</v>
      </c>
      <c r="S12" s="1327">
        <f t="shared" ca="1" si="1"/>
        <v>14.312987040385423</v>
      </c>
      <c r="T12" s="1327">
        <f t="shared" ca="1" si="1"/>
        <v>0.39464904038541704</v>
      </c>
      <c r="U12" s="1327">
        <f t="shared" ca="1" si="1"/>
        <v>13.134715040385419</v>
      </c>
      <c r="V12" s="1327">
        <f t="shared" ca="1" si="1"/>
        <v>3.1930450403854174</v>
      </c>
      <c r="W12" s="1327">
        <f t="shared" ca="1" si="1"/>
        <v>0.91014304038542093</v>
      </c>
      <c r="X12" s="1327">
        <f t="shared" ca="1" si="1"/>
        <v>13.65020904038542</v>
      </c>
      <c r="Y12" s="1327">
        <f t="shared" ca="1" si="1"/>
        <v>11.661875040385411</v>
      </c>
      <c r="Z12" s="1326">
        <f t="shared" ca="1" si="1"/>
        <v>-4.2447969596145771</v>
      </c>
      <c r="AA12" s="1074">
        <f ca="1">SUM(B12:Z12)</f>
        <v>226.15278000963548</v>
      </c>
    </row>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EE1BE-6CC9-4CF7-9F2D-D18E4B7001C9}">
  <dimension ref="A1:AA14"/>
  <sheetViews>
    <sheetView workbookViewId="0">
      <selection activeCell="F2" sqref="F2"/>
    </sheetView>
  </sheetViews>
  <sheetFormatPr baseColWidth="10" defaultColWidth="11.54296875" defaultRowHeight="14.5" x14ac:dyDescent="0.35"/>
  <cols>
    <col min="1" max="1" width="43.54296875" customWidth="1"/>
    <col min="27" max="27" width="11.453125" bestFit="1" customWidth="1"/>
  </cols>
  <sheetData>
    <row r="1" spans="1:27" ht="29.5" thickBot="1" x14ac:dyDescent="0.4">
      <c r="A1" s="1343" t="s">
        <v>1156</v>
      </c>
      <c r="B1" s="1342">
        <v>1</v>
      </c>
      <c r="C1" s="1342">
        <v>2</v>
      </c>
      <c r="D1" s="1342">
        <v>3</v>
      </c>
      <c r="E1" s="1342">
        <v>4</v>
      </c>
      <c r="F1" s="1342">
        <v>5</v>
      </c>
      <c r="G1" s="1342">
        <v>6</v>
      </c>
      <c r="H1" s="1342">
        <v>7</v>
      </c>
      <c r="I1" s="1342">
        <v>8</v>
      </c>
      <c r="J1" s="1342">
        <v>9</v>
      </c>
      <c r="K1" s="1342">
        <v>10</v>
      </c>
      <c r="L1" s="1342">
        <v>11</v>
      </c>
      <c r="M1" s="1342">
        <v>12</v>
      </c>
      <c r="N1" s="1342">
        <v>13</v>
      </c>
      <c r="O1" s="1342">
        <v>14</v>
      </c>
      <c r="P1" s="1342">
        <v>15</v>
      </c>
      <c r="Q1" s="1342">
        <v>16</v>
      </c>
      <c r="R1" s="1342">
        <v>17</v>
      </c>
      <c r="S1" s="1342">
        <v>18</v>
      </c>
      <c r="T1" s="1342">
        <v>19</v>
      </c>
      <c r="U1" s="1342">
        <v>20</v>
      </c>
      <c r="V1" s="1342">
        <v>21</v>
      </c>
      <c r="W1" s="1342">
        <v>22</v>
      </c>
      <c r="X1" s="1342">
        <v>23</v>
      </c>
      <c r="Y1" s="1342">
        <v>24</v>
      </c>
      <c r="Z1" s="1342">
        <v>25</v>
      </c>
      <c r="AA1" s="1341" t="s">
        <v>1184</v>
      </c>
    </row>
    <row r="2" spans="1:27" ht="15" thickBot="1" x14ac:dyDescent="0.4">
      <c r="A2" s="65" t="s">
        <v>568</v>
      </c>
    </row>
    <row r="3" spans="1:27" ht="29.5" thickBot="1" x14ac:dyDescent="0.4">
      <c r="A3" s="1368" t="s">
        <v>1192</v>
      </c>
      <c r="B3" s="1352">
        <f t="shared" ref="B3:Z3" ca="1" si="0">B12+B9</f>
        <v>11.959552959614584</v>
      </c>
      <c r="C3" s="1367">
        <f t="shared" ca="1" si="0"/>
        <v>11.643379959614583</v>
      </c>
      <c r="D3" s="1367">
        <f t="shared" ca="1" si="0"/>
        <v>15.340171959614583</v>
      </c>
      <c r="E3" s="1367">
        <f t="shared" ca="1" si="0"/>
        <v>14.124121959614584</v>
      </c>
      <c r="F3" s="1367">
        <f t="shared" ca="1" si="0"/>
        <v>13.053997959614584</v>
      </c>
      <c r="G3" s="1367">
        <f t="shared" ca="1" si="0"/>
        <v>16.361653959614586</v>
      </c>
      <c r="H3" s="1367">
        <f t="shared" ca="1" si="0"/>
        <v>12.883750959614584</v>
      </c>
      <c r="I3" s="1367">
        <f t="shared" ca="1" si="0"/>
        <v>12.579738459614584</v>
      </c>
      <c r="J3" s="1367">
        <f t="shared" ca="1" si="0"/>
        <v>11.752824459614583</v>
      </c>
      <c r="K3" s="1367">
        <f t="shared" ca="1" si="0"/>
        <v>13.662022959614585</v>
      </c>
      <c r="L3" s="1367">
        <f t="shared" ca="1" si="0"/>
        <v>11.521774959614582</v>
      </c>
      <c r="M3" s="1367">
        <f t="shared" ca="1" si="0"/>
        <v>13.479615459614585</v>
      </c>
      <c r="N3" s="1367">
        <f t="shared" ca="1" si="0"/>
        <v>11.023194459614583</v>
      </c>
      <c r="O3" s="1367">
        <f t="shared" ca="1" si="0"/>
        <v>12.433812459614582</v>
      </c>
      <c r="P3" s="1367">
        <f t="shared" ca="1" si="0"/>
        <v>13.674183459614584</v>
      </c>
      <c r="Q3" s="1367">
        <f t="shared" ca="1" si="0"/>
        <v>16.446777459614584</v>
      </c>
      <c r="R3" s="1367">
        <f t="shared" ca="1" si="0"/>
        <v>15.960357459614583</v>
      </c>
      <c r="S3" s="1367">
        <f t="shared" ca="1" si="0"/>
        <v>14.087640459614583</v>
      </c>
      <c r="T3" s="1367">
        <f t="shared" ca="1" si="0"/>
        <v>11.789305959614584</v>
      </c>
      <c r="U3" s="1367">
        <f t="shared" ca="1" si="0"/>
        <v>13.893072459614583</v>
      </c>
      <c r="V3" s="1367">
        <f t="shared" ca="1" si="0"/>
        <v>12.251404959614582</v>
      </c>
      <c r="W3" s="1367">
        <f t="shared" ca="1" si="0"/>
        <v>11.874429459614584</v>
      </c>
      <c r="X3" s="1367">
        <f t="shared" ca="1" si="0"/>
        <v>13.978195959614585</v>
      </c>
      <c r="Y3" s="1367">
        <f t="shared" ca="1" si="0"/>
        <v>13.649862459614582</v>
      </c>
      <c r="Z3" s="1366">
        <f t="shared" ca="1" si="0"/>
        <v>11.023194459614583</v>
      </c>
      <c r="AA3" s="1365">
        <f ca="1">SUM(B3:Z3)</f>
        <v>330.4480374903647</v>
      </c>
    </row>
    <row r="4" spans="1:27" ht="29.5" thickBot="1" x14ac:dyDescent="0.4">
      <c r="A4" s="627" t="s">
        <v>1191</v>
      </c>
    </row>
    <row r="5" spans="1:27" ht="15" thickBot="1" x14ac:dyDescent="0.4"/>
    <row r="6" spans="1:27" x14ac:dyDescent="0.35">
      <c r="A6" s="786" t="s">
        <v>1190</v>
      </c>
      <c r="B6" s="1364">
        <f>'Hipóteses xerais (2)'!$F$40</f>
        <v>0</v>
      </c>
      <c r="C6" s="1364">
        <f>'Hipóteses xerais (2)'!$F$40</f>
        <v>0</v>
      </c>
      <c r="D6" s="1364">
        <f>'Hipóteses xerais (2)'!$F$40</f>
        <v>0</v>
      </c>
      <c r="E6" s="1364">
        <f>'Hipóteses xerais (2)'!$F$40</f>
        <v>0</v>
      </c>
      <c r="F6" s="1364">
        <f>'Hipóteses xerais (2)'!$F$40</f>
        <v>0</v>
      </c>
      <c r="G6" s="1364">
        <f>'Hipóteses xerais (2)'!$F$40</f>
        <v>0</v>
      </c>
      <c r="H6" s="1364">
        <f>'Hipóteses xerais (2)'!$F$40</f>
        <v>0</v>
      </c>
      <c r="I6" s="1364">
        <f>'Hipóteses xerais (2)'!$F$40</f>
        <v>0</v>
      </c>
      <c r="J6" s="1364">
        <f>'Hipóteses xerais (2)'!$F$40</f>
        <v>0</v>
      </c>
      <c r="K6" s="1364">
        <f>'Hipóteses xerais (2)'!$F$40</f>
        <v>0</v>
      </c>
      <c r="L6" s="1364">
        <f>'Hipóteses xerais (2)'!$F$40</f>
        <v>0</v>
      </c>
      <c r="M6" s="1364">
        <f>'Hipóteses xerais (2)'!$F$40</f>
        <v>0</v>
      </c>
      <c r="N6" s="1364">
        <f>'Hipóteses xerais (2)'!$F$40</f>
        <v>0</v>
      </c>
      <c r="O6" s="1364">
        <f>'Hipóteses xerais (2)'!$F$40</f>
        <v>0</v>
      </c>
      <c r="P6" s="1364">
        <f>'Hipóteses xerais (2)'!$F$40</f>
        <v>0</v>
      </c>
      <c r="Q6" s="1364">
        <f>'Hipóteses xerais (2)'!$F$40</f>
        <v>0</v>
      </c>
      <c r="R6" s="1364">
        <f>'Hipóteses xerais (2)'!$F$40</f>
        <v>0</v>
      </c>
      <c r="S6" s="1364">
        <f>'Hipóteses xerais (2)'!$F$40</f>
        <v>0</v>
      </c>
      <c r="T6" s="1364">
        <f>'Hipóteses xerais (2)'!$F$40</f>
        <v>0</v>
      </c>
      <c r="U6" s="1364">
        <f>'Hipóteses xerais (2)'!$F$40</f>
        <v>0</v>
      </c>
      <c r="V6" s="1364">
        <f>'Hipóteses xerais (2)'!$F$40</f>
        <v>0</v>
      </c>
      <c r="W6" s="1364">
        <f>'Hipóteses xerais (2)'!$F$40</f>
        <v>0</v>
      </c>
      <c r="X6" s="1364">
        <f>'Hipóteses xerais (2)'!$F$40</f>
        <v>0</v>
      </c>
      <c r="Y6" s="878">
        <f>'Hipóteses xerais (2)'!$F$40</f>
        <v>0</v>
      </c>
      <c r="Z6" s="1032">
        <f>'Hipóteses xerais (2)'!$F$40</f>
        <v>0</v>
      </c>
      <c r="AA6" s="1363">
        <f>SUM(B6:Z6)</f>
        <v>0</v>
      </c>
    </row>
    <row r="7" spans="1:27" x14ac:dyDescent="0.35">
      <c r="A7" s="779" t="s">
        <v>1189</v>
      </c>
      <c r="B7" s="1105">
        <f>'Hipóteses xerais (2)'!$F$41</f>
        <v>8.2348999999999997</v>
      </c>
      <c r="C7" s="1105">
        <f>'Hipóteses xerais (2)'!$F$41</f>
        <v>8.2348999999999997</v>
      </c>
      <c r="D7" s="1105">
        <f>'Hipóteses xerais (2)'!$F$41</f>
        <v>8.2348999999999997</v>
      </c>
      <c r="E7" s="1105">
        <f>'Hipóteses xerais (2)'!$F$41</f>
        <v>8.2348999999999997</v>
      </c>
      <c r="F7" s="1105">
        <f>'Hipóteses xerais (2)'!$F$41</f>
        <v>8.2348999999999997</v>
      </c>
      <c r="G7" s="1105">
        <f>'Hipóteses xerais (2)'!$F$41</f>
        <v>8.2348999999999997</v>
      </c>
      <c r="H7" s="1105">
        <f>'Hipóteses xerais (2)'!$F$41</f>
        <v>8.2348999999999997</v>
      </c>
      <c r="I7" s="1105">
        <f>'Hipóteses xerais (2)'!$F$41</f>
        <v>8.2348999999999997</v>
      </c>
      <c r="J7" s="1105">
        <f>'Hipóteses xerais (2)'!$F$41</f>
        <v>8.2348999999999997</v>
      </c>
      <c r="K7" s="1105">
        <f>'Hipóteses xerais (2)'!$F$41</f>
        <v>8.2348999999999997</v>
      </c>
      <c r="L7" s="1105">
        <f>'Hipóteses xerais (2)'!$F$41</f>
        <v>8.2348999999999997</v>
      </c>
      <c r="M7" s="1105">
        <f>'Hipóteses xerais (2)'!$F$41</f>
        <v>8.2348999999999997</v>
      </c>
      <c r="N7" s="1105">
        <f>'Hipóteses xerais (2)'!$F$41</f>
        <v>8.2348999999999997</v>
      </c>
      <c r="O7" s="1105">
        <f>'Hipóteses xerais (2)'!$F$41</f>
        <v>8.2348999999999997</v>
      </c>
      <c r="P7" s="1105">
        <f>'Hipóteses xerais (2)'!$F$41</f>
        <v>8.2348999999999997</v>
      </c>
      <c r="Q7" s="1105">
        <f>'Hipóteses xerais (2)'!$F$41</f>
        <v>8.2348999999999997</v>
      </c>
      <c r="R7" s="1105">
        <f>'Hipóteses xerais (2)'!$F$41</f>
        <v>8.2348999999999997</v>
      </c>
      <c r="S7" s="1105">
        <f>'Hipóteses xerais (2)'!$F$41</f>
        <v>8.2348999999999997</v>
      </c>
      <c r="T7" s="1105">
        <f>'Hipóteses xerais (2)'!$F$41</f>
        <v>8.2348999999999997</v>
      </c>
      <c r="U7" s="1105">
        <f>'Hipóteses xerais (2)'!$F$41</f>
        <v>8.2348999999999997</v>
      </c>
      <c r="V7" s="1105">
        <f>'Hipóteses xerais (2)'!$F$41</f>
        <v>8.2348999999999997</v>
      </c>
      <c r="W7" s="1105">
        <f>'Hipóteses xerais (2)'!$F$41</f>
        <v>8.2348999999999997</v>
      </c>
      <c r="X7" s="1105">
        <f>'Hipóteses xerais (2)'!$F$41</f>
        <v>8.2348999999999997</v>
      </c>
      <c r="Y7" s="1362">
        <f>'Hipóteses xerais (2)'!$F$41</f>
        <v>8.2348999999999997</v>
      </c>
      <c r="Z7" s="1028">
        <f>'Hipóteses xerais (2)'!$F$41</f>
        <v>8.2348999999999997</v>
      </c>
      <c r="AA7" s="1361">
        <f>SUM(B7:Z7)</f>
        <v>205.87250000000006</v>
      </c>
    </row>
    <row r="8" spans="1:27" s="10" customFormat="1" ht="29.5" thickBot="1" x14ac:dyDescent="0.4">
      <c r="A8" s="1149" t="s">
        <v>1188</v>
      </c>
      <c r="B8" s="1360">
        <f>'Hipóteses xerais (2)'!$F$42</f>
        <v>0</v>
      </c>
      <c r="C8" s="1360">
        <f>'Hipóteses xerais (2)'!$F$42</f>
        <v>0</v>
      </c>
      <c r="D8" s="1360">
        <f>'Hipóteses xerais (2)'!$F$42</f>
        <v>0</v>
      </c>
      <c r="E8" s="1360">
        <f>'Hipóteses xerais (2)'!$F$42</f>
        <v>0</v>
      </c>
      <c r="F8" s="1360">
        <f>'Hipóteses xerais (2)'!$F$42</f>
        <v>0</v>
      </c>
      <c r="G8" s="1360">
        <f>'Hipóteses xerais (2)'!$F$42</f>
        <v>0</v>
      </c>
      <c r="H8" s="1360">
        <f>'Hipóteses xerais (2)'!$F$42</f>
        <v>0</v>
      </c>
      <c r="I8" s="1360">
        <f>'Hipóteses xerais (2)'!$F$42</f>
        <v>0</v>
      </c>
      <c r="J8" s="1360">
        <f>'Hipóteses xerais (2)'!$F$42</f>
        <v>0</v>
      </c>
      <c r="K8" s="1360">
        <f>'Hipóteses xerais (2)'!$F$42</f>
        <v>0</v>
      </c>
      <c r="L8" s="1360">
        <f>'Hipóteses xerais (2)'!$F$42</f>
        <v>0</v>
      </c>
      <c r="M8" s="1360">
        <f>'Hipóteses xerais (2)'!$F$42</f>
        <v>0</v>
      </c>
      <c r="N8" s="1360">
        <f>'Hipóteses xerais (2)'!$F$42</f>
        <v>0</v>
      </c>
      <c r="O8" s="1360">
        <f>'Hipóteses xerais (2)'!$F$42</f>
        <v>0</v>
      </c>
      <c r="P8" s="1360">
        <f>'Hipóteses xerais (2)'!$F$42</f>
        <v>0</v>
      </c>
      <c r="Q8" s="1360">
        <f>'Hipóteses xerais (2)'!$F$42</f>
        <v>0</v>
      </c>
      <c r="R8" s="1360">
        <f>'Hipóteses xerais (2)'!$F$42</f>
        <v>0</v>
      </c>
      <c r="S8" s="1360">
        <f>'Hipóteses xerais (2)'!$F$42</f>
        <v>0</v>
      </c>
      <c r="T8" s="1360">
        <f>'Hipóteses xerais (2)'!$F$42</f>
        <v>0</v>
      </c>
      <c r="U8" s="1360">
        <f>'Hipóteses xerais (2)'!$F$42</f>
        <v>0</v>
      </c>
      <c r="V8" s="1360">
        <f>'Hipóteses xerais (2)'!$F$42</f>
        <v>0</v>
      </c>
      <c r="W8" s="1360">
        <f>'Hipóteses xerais (2)'!$F$42</f>
        <v>0</v>
      </c>
      <c r="X8" s="1360">
        <f>'Hipóteses xerais (2)'!$F$42</f>
        <v>0</v>
      </c>
      <c r="Y8" s="1359">
        <f>'Hipóteses xerais (2)'!$F$42</f>
        <v>0</v>
      </c>
      <c r="Z8" s="1358">
        <f>'Hipóteses xerais (2)'!$F$42</f>
        <v>0</v>
      </c>
      <c r="AA8" s="1357">
        <f>SUM(B8:Z8)</f>
        <v>0</v>
      </c>
    </row>
    <row r="9" spans="1:27" s="10" customFormat="1" ht="29.5" thickBot="1" x14ac:dyDescent="0.4">
      <c r="A9" s="1356" t="s">
        <v>1187</v>
      </c>
      <c r="B9" s="1355">
        <f t="shared" ref="B9:Z9" si="1">SUM(B6:B8)</f>
        <v>8.2348999999999997</v>
      </c>
      <c r="C9" s="1354">
        <f t="shared" si="1"/>
        <v>8.2348999999999997</v>
      </c>
      <c r="D9" s="1354">
        <f t="shared" si="1"/>
        <v>8.2348999999999997</v>
      </c>
      <c r="E9" s="1354">
        <f t="shared" si="1"/>
        <v>8.2348999999999997</v>
      </c>
      <c r="F9" s="1354">
        <f t="shared" si="1"/>
        <v>8.2348999999999997</v>
      </c>
      <c r="G9" s="1354">
        <f t="shared" si="1"/>
        <v>8.2348999999999997</v>
      </c>
      <c r="H9" s="1354">
        <f t="shared" si="1"/>
        <v>8.2348999999999997</v>
      </c>
      <c r="I9" s="1354">
        <f t="shared" si="1"/>
        <v>8.2348999999999997</v>
      </c>
      <c r="J9" s="1354">
        <f t="shared" si="1"/>
        <v>8.2348999999999997</v>
      </c>
      <c r="K9" s="1354">
        <f t="shared" si="1"/>
        <v>8.2348999999999997</v>
      </c>
      <c r="L9" s="1354">
        <f t="shared" si="1"/>
        <v>8.2348999999999997</v>
      </c>
      <c r="M9" s="1354">
        <f t="shared" si="1"/>
        <v>8.2348999999999997</v>
      </c>
      <c r="N9" s="1354">
        <f t="shared" si="1"/>
        <v>8.2348999999999997</v>
      </c>
      <c r="O9" s="1354">
        <f t="shared" si="1"/>
        <v>8.2348999999999997</v>
      </c>
      <c r="P9" s="1354">
        <f t="shared" si="1"/>
        <v>8.2348999999999997</v>
      </c>
      <c r="Q9" s="1354">
        <f t="shared" si="1"/>
        <v>8.2348999999999997</v>
      </c>
      <c r="R9" s="1354">
        <f t="shared" si="1"/>
        <v>8.2348999999999997</v>
      </c>
      <c r="S9" s="1354">
        <f t="shared" si="1"/>
        <v>8.2348999999999997</v>
      </c>
      <c r="T9" s="1354">
        <f t="shared" si="1"/>
        <v>8.2348999999999997</v>
      </c>
      <c r="U9" s="1354">
        <f t="shared" si="1"/>
        <v>8.2348999999999997</v>
      </c>
      <c r="V9" s="1354">
        <f t="shared" si="1"/>
        <v>8.2348999999999997</v>
      </c>
      <c r="W9" s="1354">
        <f t="shared" si="1"/>
        <v>8.2348999999999997</v>
      </c>
      <c r="X9" s="1354">
        <f t="shared" si="1"/>
        <v>8.2348999999999997</v>
      </c>
      <c r="Y9" s="1353">
        <f t="shared" si="1"/>
        <v>8.2348999999999997</v>
      </c>
      <c r="Z9" s="1352">
        <f t="shared" si="1"/>
        <v>8.2348999999999997</v>
      </c>
      <c r="AA9" s="1351">
        <f>SUM(B9:Z9)</f>
        <v>205.87250000000006</v>
      </c>
    </row>
    <row r="11" spans="1:27" ht="15" thickBot="1" x14ac:dyDescent="0.4"/>
    <row r="12" spans="1:27" ht="29.5" thickBot="1" x14ac:dyDescent="0.4">
      <c r="A12" s="1350" t="s">
        <v>1186</v>
      </c>
      <c r="B12" s="1349">
        <f ca="1">'Factura Socios Sen CE'!B17*'Resultado Socios'!B14</f>
        <v>3.7246529596145836</v>
      </c>
      <c r="C12" s="1113">
        <f ca="1">'Factura Socios Sen CE'!C17*'Resultado Socios'!C14</f>
        <v>3.4084799596145836</v>
      </c>
      <c r="D12" s="1113">
        <f ca="1">'Factura Socios Sen CE'!D17*'Resultado Socios'!D14</f>
        <v>7.1052719596145835</v>
      </c>
      <c r="E12" s="1113">
        <f ca="1">'Factura Socios Sen CE'!E17*'Resultado Socios'!E14</f>
        <v>5.8892219596145843</v>
      </c>
      <c r="F12" s="1113">
        <f ca="1">'Factura Socios Sen CE'!F17*'Resultado Socios'!F14</f>
        <v>4.8190979596145844</v>
      </c>
      <c r="G12" s="1113">
        <f ca="1">'Factura Socios Sen CE'!G17*'Resultado Socios'!G14</f>
        <v>8.1267539596145859</v>
      </c>
      <c r="H12" s="1113">
        <f ca="1">'Factura Socios Sen CE'!H17*'Resultado Socios'!H14</f>
        <v>4.6488509596145837</v>
      </c>
      <c r="I12" s="1113">
        <f ca="1">'Factura Socios Sen CE'!I17*'Resultado Socios'!I14</f>
        <v>4.3448384596145839</v>
      </c>
      <c r="J12" s="1113">
        <f ca="1">'Factura Socios Sen CE'!J17*'Resultado Socios'!J14</f>
        <v>3.5179244596145836</v>
      </c>
      <c r="K12" s="1113">
        <f ca="1">'Factura Socios Sen CE'!K17*'Resultado Socios'!K14</f>
        <v>5.4271229596145849</v>
      </c>
      <c r="L12" s="1113">
        <f ca="1">'Factura Socios Sen CE'!L17*'Resultado Socios'!L14</f>
        <v>3.2868749596145834</v>
      </c>
      <c r="M12" s="1113">
        <f ca="1">'Factura Socios Sen CE'!M17*'Resultado Socios'!M14</f>
        <v>5.2447154596145849</v>
      </c>
      <c r="N12" s="1113">
        <f ca="1">'Factura Socios Sen CE'!N17*'Resultado Socios'!N14</f>
        <v>2.7882944596145838</v>
      </c>
      <c r="O12" s="1113">
        <f ca="1">'Factura Socios Sen CE'!O17*'Resultado Socios'!O14</f>
        <v>4.1989124596145837</v>
      </c>
      <c r="P12" s="1113">
        <f ca="1">'Factura Socios Sen CE'!P17*'Resultado Socios'!P14</f>
        <v>5.4392834596145843</v>
      </c>
      <c r="Q12" s="1113">
        <f ca="1">'Factura Socios Sen CE'!Q17*'Resultado Socios'!Q14</f>
        <v>8.211877459614584</v>
      </c>
      <c r="R12" s="1113">
        <f ca="1">'Factura Socios Sen CE'!R17*'Resultado Socios'!R14</f>
        <v>7.7254574596145833</v>
      </c>
      <c r="S12" s="1113">
        <f ca="1">'Factura Socios Sen CE'!S17*'Resultado Socios'!S14</f>
        <v>5.8527404596145844</v>
      </c>
      <c r="T12" s="1113">
        <f ca="1">'Factura Socios Sen CE'!T17*'Resultado Socios'!T14</f>
        <v>3.5544059596145838</v>
      </c>
      <c r="U12" s="1113">
        <f ca="1">'Factura Socios Sen CE'!U17*'Resultado Socios'!U14</f>
        <v>5.6581724596145833</v>
      </c>
      <c r="V12" s="1113">
        <f ca="1">'Factura Socios Sen CE'!V17*'Resultado Socios'!V14</f>
        <v>4.0165049596145836</v>
      </c>
      <c r="W12" s="1113">
        <f ca="1">'Factura Socios Sen CE'!W17*'Resultado Socios'!W14</f>
        <v>3.6395294596145842</v>
      </c>
      <c r="X12" s="1113">
        <f ca="1">'Factura Socios Sen CE'!X17*'Resultado Socios'!X14</f>
        <v>5.7432959596145841</v>
      </c>
      <c r="Y12" s="1113">
        <f ca="1">'Factura Socios Sen CE'!Y17*'Resultado Socios'!Y14</f>
        <v>5.4149624596145829</v>
      </c>
      <c r="Z12" s="1129">
        <f ca="1">'Factura Socios Sen CE'!Z17*'Resultado Socios'!Z14</f>
        <v>2.7882944596145838</v>
      </c>
      <c r="AA12" s="1348">
        <f ca="1">SUM(B12:Z12)</f>
        <v>124.5755374903646</v>
      </c>
    </row>
    <row r="13" spans="1:27" ht="15" thickBot="1" x14ac:dyDescent="0.4"/>
    <row r="14" spans="1:27" ht="29.5" thickBot="1" x14ac:dyDescent="0.4">
      <c r="A14" s="1332" t="s">
        <v>1185</v>
      </c>
      <c r="B14" s="1347">
        <f>'Datos Socios'!$F$14</f>
        <v>0.1</v>
      </c>
      <c r="C14" s="1346">
        <f>'Datos Socios'!$F$14</f>
        <v>0.1</v>
      </c>
      <c r="D14" s="1346">
        <f>'Datos Socios'!$F$14</f>
        <v>0.1</v>
      </c>
      <c r="E14" s="1346">
        <f>'Datos Socios'!$F$14</f>
        <v>0.1</v>
      </c>
      <c r="F14" s="1346">
        <f>'Datos Socios'!$F$14</f>
        <v>0.1</v>
      </c>
      <c r="G14" s="1346">
        <f>'Datos Socios'!$F$14</f>
        <v>0.1</v>
      </c>
      <c r="H14" s="1346">
        <f>'Datos Socios'!$F$14</f>
        <v>0.1</v>
      </c>
      <c r="I14" s="1346">
        <f>'Datos Socios'!$F$14</f>
        <v>0.1</v>
      </c>
      <c r="J14" s="1346">
        <f>'Datos Socios'!$F$14</f>
        <v>0.1</v>
      </c>
      <c r="K14" s="1346">
        <f>'Datos Socios'!$F$14</f>
        <v>0.1</v>
      </c>
      <c r="L14" s="1346">
        <f>'Datos Socios'!$F$14</f>
        <v>0.1</v>
      </c>
      <c r="M14" s="1346">
        <f>'Datos Socios'!$F$14</f>
        <v>0.1</v>
      </c>
      <c r="N14" s="1346">
        <f>'Datos Socios'!$F$14</f>
        <v>0.1</v>
      </c>
      <c r="O14" s="1346">
        <f>'Datos Socios'!$F$14</f>
        <v>0.1</v>
      </c>
      <c r="P14" s="1346">
        <f>'Datos Socios'!$F$14</f>
        <v>0.1</v>
      </c>
      <c r="Q14" s="1346">
        <f>'Datos Socios'!$F$14</f>
        <v>0.1</v>
      </c>
      <c r="R14" s="1346">
        <f>'Datos Socios'!$F$14</f>
        <v>0.1</v>
      </c>
      <c r="S14" s="1346">
        <f>'Datos Socios'!$F$14</f>
        <v>0.1</v>
      </c>
      <c r="T14" s="1346">
        <f>'Datos Socios'!$F$14</f>
        <v>0.1</v>
      </c>
      <c r="U14" s="1346">
        <f>'Datos Socios'!$F$14</f>
        <v>0.1</v>
      </c>
      <c r="V14" s="1346">
        <f>'Datos Socios'!$F$14</f>
        <v>0.1</v>
      </c>
      <c r="W14" s="1346">
        <f>'Datos Socios'!$F$14</f>
        <v>0.1</v>
      </c>
      <c r="X14" s="1346">
        <f>'Datos Socios'!$F$14</f>
        <v>0.1</v>
      </c>
      <c r="Y14" s="1346">
        <f>'Datos Socios'!$F$14</f>
        <v>0.1</v>
      </c>
      <c r="Z14" s="1345">
        <f>'Datos Socios'!$F$14</f>
        <v>0.1</v>
      </c>
      <c r="AA14" s="1344">
        <f ca="1">AA12/'Factura Socios Sen CE'!AA17</f>
        <v>0.1</v>
      </c>
    </row>
  </sheetData>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A28B5-041A-46B0-9DAD-776A4B534C2B}">
  <dimension ref="A1:I29"/>
  <sheetViews>
    <sheetView workbookViewId="0">
      <selection activeCell="F2" sqref="F2"/>
    </sheetView>
  </sheetViews>
  <sheetFormatPr baseColWidth="10" defaultColWidth="8.6328125" defaultRowHeight="14.5" x14ac:dyDescent="0.35"/>
  <cols>
    <col min="1" max="1" width="10.54296875" bestFit="1" customWidth="1"/>
    <col min="2" max="2" width="21.36328125" customWidth="1"/>
    <col min="3" max="3" width="12.6328125" customWidth="1"/>
    <col min="6" max="6" width="11.6328125" customWidth="1"/>
  </cols>
  <sheetData>
    <row r="1" spans="1:9" ht="44" thickBot="1" x14ac:dyDescent="0.4">
      <c r="A1" s="793" t="s">
        <v>1156</v>
      </c>
      <c r="B1" s="1083" t="s">
        <v>1155</v>
      </c>
      <c r="C1" s="1082" t="s">
        <v>1154</v>
      </c>
    </row>
    <row r="2" spans="1:9" ht="15" thickBot="1" x14ac:dyDescent="0.4">
      <c r="A2" s="786">
        <v>1</v>
      </c>
      <c r="B2" s="1257">
        <f t="shared" ref="B2:B26" ca="1" si="0">RANDBETWEEN($F$6,$F$3)</f>
        <v>102</v>
      </c>
      <c r="C2" s="1211">
        <f t="shared" ref="C2:C26" ca="1" si="1">B2/$F$9</f>
        <v>1.1924245966799158E-2</v>
      </c>
      <c r="F2" s="1210" t="s">
        <v>1153</v>
      </c>
      <c r="G2" s="619"/>
      <c r="H2" s="619"/>
      <c r="I2" s="618"/>
    </row>
    <row r="3" spans="1:9" ht="15" thickBot="1" x14ac:dyDescent="0.4">
      <c r="A3" s="779">
        <v>2</v>
      </c>
      <c r="B3" s="1249">
        <f t="shared" ca="1" si="0"/>
        <v>403</v>
      </c>
      <c r="C3" s="1369">
        <f t="shared" ca="1" si="1"/>
        <v>4.7112462006079027E-2</v>
      </c>
      <c r="F3" s="1370">
        <f>'Hip. Custos Factura Eléctrica'!$B$21</f>
        <v>525</v>
      </c>
      <c r="G3" s="1254" t="s">
        <v>1114</v>
      </c>
      <c r="H3" s="615"/>
      <c r="I3" s="938"/>
    </row>
    <row r="4" spans="1:9" ht="15" thickBot="1" x14ac:dyDescent="0.4">
      <c r="A4" s="779">
        <v>3</v>
      </c>
      <c r="B4" s="1249">
        <f t="shared" ca="1" si="0"/>
        <v>496</v>
      </c>
      <c r="C4" s="1369">
        <f t="shared" ca="1" si="1"/>
        <v>5.7984568622866495E-2</v>
      </c>
    </row>
    <row r="5" spans="1:9" ht="15" thickBot="1" x14ac:dyDescent="0.4">
      <c r="A5" s="779">
        <v>4</v>
      </c>
      <c r="B5" s="1249">
        <f t="shared" ca="1" si="0"/>
        <v>435</v>
      </c>
      <c r="C5" s="1369">
        <f t="shared" ca="1" si="1"/>
        <v>5.0853401917231707E-2</v>
      </c>
      <c r="F5" s="1210" t="s">
        <v>1152</v>
      </c>
      <c r="G5" s="619"/>
      <c r="H5" s="619"/>
      <c r="I5" s="618"/>
    </row>
    <row r="6" spans="1:9" ht="15" thickBot="1" x14ac:dyDescent="0.4">
      <c r="A6" s="779">
        <v>5</v>
      </c>
      <c r="B6" s="1249">
        <f t="shared" ca="1" si="0"/>
        <v>285</v>
      </c>
      <c r="C6" s="1369">
        <f t="shared" ca="1" si="1"/>
        <v>3.3317746083703532E-2</v>
      </c>
      <c r="F6" s="1370">
        <f>'Hip. Custos Factura Eléctrica'!$B$22</f>
        <v>75</v>
      </c>
      <c r="G6" s="1254" t="s">
        <v>1114</v>
      </c>
      <c r="H6" s="615"/>
      <c r="I6" s="938"/>
    </row>
    <row r="7" spans="1:9" ht="15" thickBot="1" x14ac:dyDescent="0.4">
      <c r="A7" s="779">
        <v>6</v>
      </c>
      <c r="B7" s="1249">
        <f t="shared" ca="1" si="0"/>
        <v>248</v>
      </c>
      <c r="C7" s="1369">
        <f t="shared" ca="1" si="1"/>
        <v>2.8992284311433247E-2</v>
      </c>
    </row>
    <row r="8" spans="1:9" ht="15" thickBot="1" x14ac:dyDescent="0.4">
      <c r="A8" s="779">
        <v>7</v>
      </c>
      <c r="B8" s="1249">
        <f t="shared" ca="1" si="0"/>
        <v>222</v>
      </c>
      <c r="C8" s="1369">
        <f t="shared" ca="1" si="1"/>
        <v>2.5952770633621697E-2</v>
      </c>
      <c r="F8" s="645" t="s">
        <v>1151</v>
      </c>
      <c r="G8" s="615"/>
      <c r="H8" s="615"/>
      <c r="I8" s="938"/>
    </row>
    <row r="9" spans="1:9" x14ac:dyDescent="0.35">
      <c r="A9" s="779">
        <v>8</v>
      </c>
      <c r="B9" s="1249">
        <f t="shared" ca="1" si="0"/>
        <v>515</v>
      </c>
      <c r="C9" s="1369">
        <f t="shared" ca="1" si="1"/>
        <v>6.0205751695113399E-2</v>
      </c>
      <c r="F9" s="1253">
        <f ca="1">SUM(B2:B26)</f>
        <v>8554</v>
      </c>
      <c r="G9" s="619" t="s">
        <v>1114</v>
      </c>
      <c r="H9" s="619"/>
      <c r="I9" s="618"/>
    </row>
    <row r="10" spans="1:9" ht="15" thickBot="1" x14ac:dyDescent="0.4">
      <c r="A10" s="779">
        <v>9</v>
      </c>
      <c r="B10" s="1249">
        <f t="shared" ca="1" si="0"/>
        <v>272</v>
      </c>
      <c r="C10" s="1369">
        <f t="shared" ca="1" si="1"/>
        <v>3.1797989244797757E-2</v>
      </c>
      <c r="F10" s="1252">
        <f ca="1">F9/1000</f>
        <v>8.5540000000000003</v>
      </c>
      <c r="G10" s="610" t="s">
        <v>976</v>
      </c>
      <c r="H10" s="610"/>
      <c r="I10" s="1251"/>
    </row>
    <row r="11" spans="1:9" x14ac:dyDescent="0.35">
      <c r="A11" s="779">
        <v>10</v>
      </c>
      <c r="B11" s="1249">
        <f t="shared" ca="1" si="0"/>
        <v>456</v>
      </c>
      <c r="C11" s="1369">
        <f t="shared" ca="1" si="1"/>
        <v>5.3308393733925652E-2</v>
      </c>
    </row>
    <row r="12" spans="1:9" x14ac:dyDescent="0.35">
      <c r="A12" s="779">
        <v>11</v>
      </c>
      <c r="B12" s="1249">
        <f t="shared" ca="1" si="0"/>
        <v>309</v>
      </c>
      <c r="C12" s="1369">
        <f t="shared" ca="1" si="1"/>
        <v>3.6123451017068035E-2</v>
      </c>
    </row>
    <row r="13" spans="1:9" x14ac:dyDescent="0.35">
      <c r="A13" s="779">
        <v>12</v>
      </c>
      <c r="B13" s="1249">
        <f t="shared" ca="1" si="0"/>
        <v>476</v>
      </c>
      <c r="C13" s="1369">
        <f t="shared" ca="1" si="1"/>
        <v>5.5646481178396073E-2</v>
      </c>
    </row>
    <row r="14" spans="1:9" x14ac:dyDescent="0.35">
      <c r="A14" s="779">
        <v>13</v>
      </c>
      <c r="B14" s="1249">
        <f t="shared" ca="1" si="0"/>
        <v>453</v>
      </c>
      <c r="C14" s="1369">
        <f t="shared" ca="1" si="1"/>
        <v>5.2957680617255087E-2</v>
      </c>
    </row>
    <row r="15" spans="1:9" x14ac:dyDescent="0.35">
      <c r="A15" s="779">
        <v>14</v>
      </c>
      <c r="B15" s="1249">
        <f t="shared" ca="1" si="0"/>
        <v>276</v>
      </c>
      <c r="C15" s="1369">
        <f t="shared" ca="1" si="1"/>
        <v>3.2265606733691839E-2</v>
      </c>
    </row>
    <row r="16" spans="1:9" x14ac:dyDescent="0.35">
      <c r="A16" s="779">
        <v>15</v>
      </c>
      <c r="B16" s="1249">
        <f t="shared" ca="1" si="0"/>
        <v>312</v>
      </c>
      <c r="C16" s="1369">
        <f t="shared" ca="1" si="1"/>
        <v>3.64741641337386E-2</v>
      </c>
    </row>
    <row r="17" spans="1:3" x14ac:dyDescent="0.35">
      <c r="A17" s="779">
        <v>16</v>
      </c>
      <c r="B17" s="1249">
        <f t="shared" ca="1" si="0"/>
        <v>362</v>
      </c>
      <c r="C17" s="1369">
        <f t="shared" ca="1" si="1"/>
        <v>4.231938274491466E-2</v>
      </c>
    </row>
    <row r="18" spans="1:3" x14ac:dyDescent="0.35">
      <c r="A18" s="779">
        <v>17</v>
      </c>
      <c r="B18" s="1249">
        <f t="shared" ca="1" si="0"/>
        <v>517</v>
      </c>
      <c r="C18" s="1369">
        <f t="shared" ca="1" si="1"/>
        <v>6.043956043956044E-2</v>
      </c>
    </row>
    <row r="19" spans="1:3" x14ac:dyDescent="0.35">
      <c r="A19" s="779">
        <v>18</v>
      </c>
      <c r="B19" s="1249">
        <f t="shared" ca="1" si="0"/>
        <v>305</v>
      </c>
      <c r="C19" s="1369">
        <f t="shared" ca="1" si="1"/>
        <v>3.5655833528173954E-2</v>
      </c>
    </row>
    <row r="20" spans="1:3" x14ac:dyDescent="0.35">
      <c r="A20" s="779">
        <v>19</v>
      </c>
      <c r="B20" s="1249">
        <f t="shared" ca="1" si="0"/>
        <v>420</v>
      </c>
      <c r="C20" s="1369">
        <f t="shared" ca="1" si="1"/>
        <v>4.9099836333878884E-2</v>
      </c>
    </row>
    <row r="21" spans="1:3" x14ac:dyDescent="0.35">
      <c r="A21" s="779">
        <v>20</v>
      </c>
      <c r="B21" s="1249">
        <f t="shared" ca="1" si="0"/>
        <v>404</v>
      </c>
      <c r="C21" s="1369">
        <f t="shared" ca="1" si="1"/>
        <v>4.7229366378302551E-2</v>
      </c>
    </row>
    <row r="22" spans="1:3" x14ac:dyDescent="0.35">
      <c r="A22" s="779">
        <v>21</v>
      </c>
      <c r="B22" s="1249">
        <f t="shared" ca="1" si="0"/>
        <v>133</v>
      </c>
      <c r="C22" s="1369">
        <f t="shared" ca="1" si="1"/>
        <v>1.5548281505728314E-2</v>
      </c>
    </row>
    <row r="23" spans="1:3" x14ac:dyDescent="0.35">
      <c r="A23" s="779">
        <v>22</v>
      </c>
      <c r="B23" s="1249">
        <f t="shared" ca="1" si="0"/>
        <v>387</v>
      </c>
      <c r="C23" s="1369">
        <f t="shared" ca="1" si="1"/>
        <v>4.5241992050502687E-2</v>
      </c>
    </row>
    <row r="24" spans="1:3" x14ac:dyDescent="0.35">
      <c r="A24" s="779">
        <v>23</v>
      </c>
      <c r="B24" s="1249">
        <f t="shared" ca="1" si="0"/>
        <v>201</v>
      </c>
      <c r="C24" s="1369">
        <f t="shared" ca="1" si="1"/>
        <v>2.3497778816927752E-2</v>
      </c>
    </row>
    <row r="25" spans="1:3" x14ac:dyDescent="0.35">
      <c r="A25" s="779">
        <v>24</v>
      </c>
      <c r="B25" s="1249">
        <f t="shared" ca="1" si="0"/>
        <v>118</v>
      </c>
      <c r="C25" s="1369">
        <f t="shared" ca="1" si="1"/>
        <v>1.3794715922375496E-2</v>
      </c>
    </row>
    <row r="26" spans="1:3" ht="15" thickBot="1" x14ac:dyDescent="0.4">
      <c r="A26" s="919">
        <v>25</v>
      </c>
      <c r="B26" s="1248">
        <f t="shared" ca="1" si="0"/>
        <v>447</v>
      </c>
      <c r="C26" s="1206">
        <f t="shared" ca="1" si="1"/>
        <v>5.2256254383913958E-2</v>
      </c>
    </row>
    <row r="27" spans="1:3" ht="44" thickBot="1" x14ac:dyDescent="0.4">
      <c r="A27" s="887" t="s">
        <v>1148</v>
      </c>
      <c r="B27" s="1246">
        <f ca="1">SUM(B2:B26)</f>
        <v>8554</v>
      </c>
      <c r="C27" s="1245">
        <f ca="1">SUM(C2:C26)</f>
        <v>0.99999999999999978</v>
      </c>
    </row>
    <row r="28" spans="1:3" x14ac:dyDescent="0.35">
      <c r="B28" s="36">
        <f ca="1">B27*12</f>
        <v>102648</v>
      </c>
    </row>
    <row r="29" spans="1:3" x14ac:dyDescent="0.35">
      <c r="B29" s="36">
        <f ca="1">B27/25*12</f>
        <v>4105.92</v>
      </c>
    </row>
  </sheetData>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54AFA-8E73-405E-B6ED-B5664BFDA1A6}">
  <dimension ref="A1:AA26"/>
  <sheetViews>
    <sheetView workbookViewId="0">
      <selection activeCell="F2" sqref="F2"/>
    </sheetView>
  </sheetViews>
  <sheetFormatPr baseColWidth="10" defaultColWidth="11.54296875" defaultRowHeight="14.5" x14ac:dyDescent="0.35"/>
  <cols>
    <col min="1" max="1" width="53.453125" bestFit="1" customWidth="1"/>
    <col min="2" max="2" width="12.36328125" bestFit="1" customWidth="1"/>
    <col min="3" max="3" width="13.90625" customWidth="1"/>
    <col min="27" max="27" width="11.36328125" bestFit="1" customWidth="1"/>
  </cols>
  <sheetData>
    <row r="1" spans="1:27" x14ac:dyDescent="0.35">
      <c r="B1" s="174" t="s">
        <v>1156</v>
      </c>
      <c r="C1" s="1269"/>
    </row>
    <row r="2" spans="1:27" ht="43.5" x14ac:dyDescent="0.35">
      <c r="B2" s="371">
        <v>1</v>
      </c>
      <c r="C2" s="371">
        <v>2</v>
      </c>
      <c r="D2" s="371">
        <v>3</v>
      </c>
      <c r="E2" s="371">
        <v>4</v>
      </c>
      <c r="F2" s="371">
        <v>5</v>
      </c>
      <c r="G2" s="371">
        <v>6</v>
      </c>
      <c r="H2" s="371">
        <v>7</v>
      </c>
      <c r="I2" s="371">
        <v>8</v>
      </c>
      <c r="J2" s="371">
        <v>9</v>
      </c>
      <c r="K2" s="371">
        <v>10</v>
      </c>
      <c r="L2" s="371">
        <v>11</v>
      </c>
      <c r="M2" s="371">
        <v>12</v>
      </c>
      <c r="N2" s="371">
        <v>13</v>
      </c>
      <c r="O2" s="371">
        <v>14</v>
      </c>
      <c r="P2" s="371">
        <v>15</v>
      </c>
      <c r="Q2" s="371">
        <v>16</v>
      </c>
      <c r="R2" s="371">
        <v>17</v>
      </c>
      <c r="S2" s="371">
        <v>18</v>
      </c>
      <c r="T2" s="371">
        <v>19</v>
      </c>
      <c r="U2" s="371">
        <v>20</v>
      </c>
      <c r="V2" s="371">
        <v>21</v>
      </c>
      <c r="W2" s="371">
        <v>22</v>
      </c>
      <c r="X2" s="371">
        <v>23</v>
      </c>
      <c r="Y2" s="371">
        <v>24</v>
      </c>
      <c r="Z2" s="371">
        <v>25</v>
      </c>
      <c r="AA2" s="371" t="s">
        <v>1148</v>
      </c>
    </row>
    <row r="3" spans="1:27" x14ac:dyDescent="0.35">
      <c r="A3" s="394" t="s">
        <v>571</v>
      </c>
      <c r="B3" s="1268">
        <f>'Simulac. Factura Indiv. Sen CE'!$B$3*(365/12)*'Datos Custos Factura Eléctrica'!$B$3</f>
        <v>10.037500000000001</v>
      </c>
      <c r="C3" s="1268">
        <f>'Simulac. Factura Indiv. Sen CE'!$B$3*(365/12)*'Datos Custos Factura Eléctrica'!$B$3</f>
        <v>10.037500000000001</v>
      </c>
      <c r="D3" s="1268">
        <f>'Simulac. Factura Indiv. Sen CE'!$B$3*(365/12)*'Datos Custos Factura Eléctrica'!$B$3</f>
        <v>10.037500000000001</v>
      </c>
      <c r="E3" s="1268">
        <f>'Simulac. Factura Indiv. Sen CE'!$B$3*(365/12)*'Datos Custos Factura Eléctrica'!$B$3</f>
        <v>10.037500000000001</v>
      </c>
      <c r="F3" s="1268">
        <f>'Simulac. Factura Indiv. Sen CE'!$B$3*(365/12)*'Datos Custos Factura Eléctrica'!$B$3</f>
        <v>10.037500000000001</v>
      </c>
      <c r="G3" s="1268">
        <f>'Simulac. Factura Indiv. Sen CE'!$B$3*(365/12)*'Datos Custos Factura Eléctrica'!$B$3</f>
        <v>10.037500000000001</v>
      </c>
      <c r="H3" s="1268">
        <f>'Simulac. Factura Indiv. Sen CE'!$B$3*(365/12)*'Datos Custos Factura Eléctrica'!$B$3</f>
        <v>10.037500000000001</v>
      </c>
      <c r="I3" s="1268">
        <f>'Simulac. Factura Indiv. Sen CE'!$B$3*(365/12)*'Datos Custos Factura Eléctrica'!$B$3</f>
        <v>10.037500000000001</v>
      </c>
      <c r="J3" s="1268">
        <f>'Simulac. Factura Indiv. Sen CE'!$B$3*(365/12)*'Datos Custos Factura Eléctrica'!$B$3</f>
        <v>10.037500000000001</v>
      </c>
      <c r="K3" s="1268">
        <f>'Simulac. Factura Indiv. Sen CE'!$B$3*(365/12)*'Datos Custos Factura Eléctrica'!$B$3</f>
        <v>10.037500000000001</v>
      </c>
      <c r="L3" s="1268">
        <f>'Simulac. Factura Indiv. Sen CE'!$B$3*(365/12)*'Datos Custos Factura Eléctrica'!$B$3</f>
        <v>10.037500000000001</v>
      </c>
      <c r="M3" s="1268">
        <f>'Simulac. Factura Indiv. Sen CE'!$B$3*(365/12)*'Datos Custos Factura Eléctrica'!$B$3</f>
        <v>10.037500000000001</v>
      </c>
      <c r="N3" s="1268">
        <f>'Simulac. Factura Indiv. Sen CE'!$B$3*(365/12)*'Datos Custos Factura Eléctrica'!$B$3</f>
        <v>10.037500000000001</v>
      </c>
      <c r="O3" s="1268">
        <f>'Simulac. Factura Indiv. Sen CE'!$B$3*(365/12)*'Datos Custos Factura Eléctrica'!$B$3</f>
        <v>10.037500000000001</v>
      </c>
      <c r="P3" s="1268">
        <f>'Simulac. Factura Indiv. Sen CE'!$B$3*(365/12)*'Datos Custos Factura Eléctrica'!$B$3</f>
        <v>10.037500000000001</v>
      </c>
      <c r="Q3" s="1268">
        <f>'Simulac. Factura Indiv. Sen CE'!$B$3*(365/12)*'Datos Custos Factura Eléctrica'!$B$3</f>
        <v>10.037500000000001</v>
      </c>
      <c r="R3" s="1268">
        <f>'Simulac. Factura Indiv. Sen CE'!$B$3*(365/12)*'Datos Custos Factura Eléctrica'!$B$3</f>
        <v>10.037500000000001</v>
      </c>
      <c r="S3" s="1268">
        <f>'Simulac. Factura Indiv. Sen CE'!$B$3*(365/12)*'Datos Custos Factura Eléctrica'!$B$3</f>
        <v>10.037500000000001</v>
      </c>
      <c r="T3" s="1268">
        <f>'Simulac. Factura Indiv. Sen CE'!$B$3*(365/12)*'Datos Custos Factura Eléctrica'!$B$3</f>
        <v>10.037500000000001</v>
      </c>
      <c r="U3" s="1268">
        <f>'Simulac. Factura Indiv. Sen CE'!$B$3*(365/12)*'Datos Custos Factura Eléctrica'!$B$3</f>
        <v>10.037500000000001</v>
      </c>
      <c r="V3" s="1268">
        <f>'Simulac. Factura Indiv. Sen CE'!$B$3*(365/12)*'Datos Custos Factura Eléctrica'!$B$3</f>
        <v>10.037500000000001</v>
      </c>
      <c r="W3" s="1268">
        <f>'Simulac. Factura Indiv. Sen CE'!$B$3*(365/12)*'Datos Custos Factura Eléctrica'!$B$3</f>
        <v>10.037500000000001</v>
      </c>
      <c r="X3" s="1268">
        <f>'Simulac. Factura Indiv. Sen CE'!$B$3*(365/12)*'Datos Custos Factura Eléctrica'!$B$3</f>
        <v>10.037500000000001</v>
      </c>
      <c r="Y3" s="1268">
        <f>'Simulac. Factura Indiv. Sen CE'!$B$3*(365/12)*'Datos Custos Factura Eléctrica'!$B$3</f>
        <v>10.037500000000001</v>
      </c>
      <c r="Z3" s="1268">
        <f>'Simulac. Factura Indiv. Sen CE'!$B$3*(365/12)*'Datos Custos Factura Eléctrica'!$B$3</f>
        <v>10.037500000000001</v>
      </c>
      <c r="AA3" s="150">
        <f>SUM(B3:Z3)</f>
        <v>250.93749999999991</v>
      </c>
    </row>
    <row r="4" spans="1:27" x14ac:dyDescent="0.35">
      <c r="A4" s="394" t="s">
        <v>574</v>
      </c>
      <c r="B4" s="1268">
        <f>'Simulac. Factura Indiv. Sen CE'!$B$3*(365/12)*'Datos Custos Factura Eléctrica'!$B4</f>
        <v>3.01125</v>
      </c>
      <c r="C4" s="1268">
        <f>'Simulac. Factura Indiv. Sen CE'!$B$3*(365/12)*'Datos Custos Factura Eléctrica'!$B4</f>
        <v>3.01125</v>
      </c>
      <c r="D4" s="1268">
        <f>'Simulac. Factura Indiv. Sen CE'!$B$3*(365/12)*'Datos Custos Factura Eléctrica'!$B4</f>
        <v>3.01125</v>
      </c>
      <c r="E4" s="1268">
        <f>'Simulac. Factura Indiv. Sen CE'!$B$3*(365/12)*'Datos Custos Factura Eléctrica'!$B4</f>
        <v>3.01125</v>
      </c>
      <c r="F4" s="1268">
        <f>'Simulac. Factura Indiv. Sen CE'!$B$3*(365/12)*'Datos Custos Factura Eléctrica'!$B4</f>
        <v>3.01125</v>
      </c>
      <c r="G4" s="1268">
        <f>'Simulac. Factura Indiv. Sen CE'!$B$3*(365/12)*'Datos Custos Factura Eléctrica'!$B4</f>
        <v>3.01125</v>
      </c>
      <c r="H4" s="1268">
        <f>'Simulac. Factura Indiv. Sen CE'!$B$3*(365/12)*'Datos Custos Factura Eléctrica'!$B4</f>
        <v>3.01125</v>
      </c>
      <c r="I4" s="1268">
        <f>'Simulac. Factura Indiv. Sen CE'!$B$3*(365/12)*'Datos Custos Factura Eléctrica'!$B4</f>
        <v>3.01125</v>
      </c>
      <c r="J4" s="1268">
        <f>'Simulac. Factura Indiv. Sen CE'!$B$3*(365/12)*'Datos Custos Factura Eléctrica'!$B4</f>
        <v>3.01125</v>
      </c>
      <c r="K4" s="1268">
        <f>'Simulac. Factura Indiv. Sen CE'!$B$3*(365/12)*'Datos Custos Factura Eléctrica'!$B4</f>
        <v>3.01125</v>
      </c>
      <c r="L4" s="1268">
        <f>'Simulac. Factura Indiv. Sen CE'!$B$3*(365/12)*'Datos Custos Factura Eléctrica'!$B4</f>
        <v>3.01125</v>
      </c>
      <c r="M4" s="1268">
        <f>'Simulac. Factura Indiv. Sen CE'!$B$3*(365/12)*'Datos Custos Factura Eléctrica'!$B4</f>
        <v>3.01125</v>
      </c>
      <c r="N4" s="1268">
        <f>'Simulac. Factura Indiv. Sen CE'!$B$3*(365/12)*'Datos Custos Factura Eléctrica'!$B4</f>
        <v>3.01125</v>
      </c>
      <c r="O4" s="1268">
        <f>'Simulac. Factura Indiv. Sen CE'!$B$3*(365/12)*'Datos Custos Factura Eléctrica'!$B4</f>
        <v>3.01125</v>
      </c>
      <c r="P4" s="1268">
        <f>'Simulac. Factura Indiv. Sen CE'!$B$3*(365/12)*'Datos Custos Factura Eléctrica'!$B4</f>
        <v>3.01125</v>
      </c>
      <c r="Q4" s="1268">
        <f>'Simulac. Factura Indiv. Sen CE'!$B$3*(365/12)*'Datos Custos Factura Eléctrica'!$B4</f>
        <v>3.01125</v>
      </c>
      <c r="R4" s="1268">
        <f>'Simulac. Factura Indiv. Sen CE'!$B$3*(365/12)*'Datos Custos Factura Eléctrica'!$B4</f>
        <v>3.01125</v>
      </c>
      <c r="S4" s="1268">
        <f>'Simulac. Factura Indiv. Sen CE'!$B$3*(365/12)*'Datos Custos Factura Eléctrica'!$B4</f>
        <v>3.01125</v>
      </c>
      <c r="T4" s="1268">
        <f>'Simulac. Factura Indiv. Sen CE'!$B$3*(365/12)*'Datos Custos Factura Eléctrica'!$B4</f>
        <v>3.01125</v>
      </c>
      <c r="U4" s="1268">
        <f>'Simulac. Factura Indiv. Sen CE'!$B$3*(365/12)*'Datos Custos Factura Eléctrica'!$B4</f>
        <v>3.01125</v>
      </c>
      <c r="V4" s="1268">
        <f>'Simulac. Factura Indiv. Sen CE'!$B$3*(365/12)*'Datos Custos Factura Eléctrica'!$B4</f>
        <v>3.01125</v>
      </c>
      <c r="W4" s="1268">
        <f>'Simulac. Factura Indiv. Sen CE'!$B$3*(365/12)*'Datos Custos Factura Eléctrica'!$B4</f>
        <v>3.01125</v>
      </c>
      <c r="X4" s="1268">
        <f>'Simulac. Factura Indiv. Sen CE'!$B$3*(365/12)*'Datos Custos Factura Eléctrica'!$B4</f>
        <v>3.01125</v>
      </c>
      <c r="Y4" s="1268">
        <f>'Simulac. Factura Indiv. Sen CE'!$B$3*(365/12)*'Datos Custos Factura Eléctrica'!$B4</f>
        <v>3.01125</v>
      </c>
      <c r="Z4" s="1268">
        <f>'Simulac. Factura Indiv. Sen CE'!$B$3*(365/12)*'Datos Custos Factura Eléctrica'!$B4</f>
        <v>3.01125</v>
      </c>
      <c r="AA4" s="150">
        <f>SUM(B4:Z4)</f>
        <v>75.281249999999986</v>
      </c>
    </row>
    <row r="5" spans="1:27" x14ac:dyDescent="0.35">
      <c r="A5" s="394" t="s">
        <v>1099</v>
      </c>
      <c r="B5" s="1263">
        <f ca="1">(INDEX('Datos Socios (2)'!$B$2:$B$27,'Factura Socios Sen CE (2)'!B2))*'Datos Custos Factura Eléctrica'!$B$5</f>
        <v>10.200000000000001</v>
      </c>
      <c r="C5" s="1263">
        <f ca="1">(INDEX('Datos Socios (2)'!$B$2:$B$27,'Factura Socios Sen CE (2)'!C2))*'Datos Custos Factura Eléctrica'!$B$5</f>
        <v>40.300000000000004</v>
      </c>
      <c r="D5" s="1263">
        <f ca="1">(INDEX('Datos Socios (2)'!$B$2:$B$27,'Factura Socios Sen CE (2)'!D2))*'Datos Custos Factura Eléctrica'!$B$5</f>
        <v>49.6</v>
      </c>
      <c r="E5" s="1263">
        <f ca="1">(INDEX('Datos Socios (2)'!$B$2:$B$27,'Factura Socios Sen CE (2)'!E2))*'Datos Custos Factura Eléctrica'!$B$5</f>
        <v>43.5</v>
      </c>
      <c r="F5" s="1263">
        <f ca="1">(INDEX('Datos Socios (2)'!$B$2:$B$27,'Factura Socios Sen CE (2)'!F2))*'Datos Custos Factura Eléctrica'!$B$5</f>
        <v>28.5</v>
      </c>
      <c r="G5" s="1263">
        <f ca="1">(INDEX('Datos Socios (2)'!$B$2:$B$27,'Factura Socios Sen CE (2)'!G2))*'Datos Custos Factura Eléctrica'!$B$5</f>
        <v>24.8</v>
      </c>
      <c r="H5" s="1263">
        <f ca="1">(INDEX('Datos Socios (2)'!$B$2:$B$27,'Factura Socios Sen CE (2)'!H2))*'Datos Custos Factura Eléctrica'!$B$5</f>
        <v>22.200000000000003</v>
      </c>
      <c r="I5" s="1263">
        <f ca="1">(INDEX('Datos Socios (2)'!$B$2:$B$27,'Factura Socios Sen CE (2)'!I2))*'Datos Custos Factura Eléctrica'!$B$5</f>
        <v>51.5</v>
      </c>
      <c r="J5" s="1263">
        <f ca="1">(INDEX('Datos Socios (2)'!$B$2:$B$27,'Factura Socios Sen CE (2)'!J2))*'Datos Custos Factura Eléctrica'!$B$5</f>
        <v>27.200000000000003</v>
      </c>
      <c r="K5" s="1263">
        <f ca="1">(INDEX('Datos Socios (2)'!$B$2:$B$27,'Factura Socios Sen CE (2)'!K2))*'Datos Custos Factura Eléctrica'!$B$5</f>
        <v>45.6</v>
      </c>
      <c r="L5" s="1263">
        <f ca="1">(INDEX('Datos Socios (2)'!$B$2:$B$27,'Factura Socios Sen CE (2)'!L2))*'Datos Custos Factura Eléctrica'!$B$5</f>
        <v>30.900000000000002</v>
      </c>
      <c r="M5" s="1263">
        <f ca="1">(INDEX('Datos Socios (2)'!$B$2:$B$27,'Factura Socios Sen CE (2)'!M2))*'Datos Custos Factura Eléctrica'!$B$5</f>
        <v>47.6</v>
      </c>
      <c r="N5" s="1263">
        <f ca="1">(INDEX('Datos Socios (2)'!$B$2:$B$27,'Factura Socios Sen CE (2)'!N2))*'Datos Custos Factura Eléctrica'!$B$5</f>
        <v>45.300000000000004</v>
      </c>
      <c r="O5" s="1263">
        <f ca="1">(INDEX('Datos Socios (2)'!$B$2:$B$27,'Factura Socios Sen CE (2)'!O2))*'Datos Custos Factura Eléctrica'!$B$5</f>
        <v>27.6</v>
      </c>
      <c r="P5" s="1263">
        <f ca="1">(INDEX('Datos Socios (2)'!$B$2:$B$27,'Factura Socios Sen CE (2)'!P2))*'Datos Custos Factura Eléctrica'!$B$5</f>
        <v>31.200000000000003</v>
      </c>
      <c r="Q5" s="1263">
        <f ca="1">(INDEX('Datos Socios (2)'!$B$2:$B$27,'Factura Socios Sen CE (2)'!Q2))*'Datos Custos Factura Eléctrica'!$B$5</f>
        <v>36.200000000000003</v>
      </c>
      <c r="R5" s="1263">
        <f ca="1">(INDEX('Datos Socios (2)'!$B$2:$B$27,'Factura Socios Sen CE (2)'!R2))*'Datos Custos Factura Eléctrica'!$B$5</f>
        <v>51.7</v>
      </c>
      <c r="S5" s="1263">
        <f ca="1">(INDEX('Datos Socios (2)'!$B$2:$B$27,'Factura Socios Sen CE (2)'!S2))*'Datos Custos Factura Eléctrica'!$B$5</f>
        <v>30.5</v>
      </c>
      <c r="T5" s="1263">
        <f ca="1">(INDEX('Datos Socios (2)'!$B$2:$B$27,'Factura Socios Sen CE (2)'!T2))*'Datos Custos Factura Eléctrica'!$B$5</f>
        <v>42</v>
      </c>
      <c r="U5" s="1263">
        <f ca="1">(INDEX('Datos Socios (2)'!$B$2:$B$27,'Factura Socios Sen CE (2)'!U2))*'Datos Custos Factura Eléctrica'!$B$5</f>
        <v>40.400000000000006</v>
      </c>
      <c r="V5" s="1263">
        <f ca="1">(INDEX('Datos Socios (2)'!$B$2:$B$27,'Factura Socios Sen CE (2)'!V2))*'Datos Custos Factura Eléctrica'!$B$5</f>
        <v>13.3</v>
      </c>
      <c r="W5" s="1263">
        <f ca="1">(INDEX('Datos Socios (2)'!$B$2:$B$27,'Factura Socios Sen CE (2)'!W2))*'Datos Custos Factura Eléctrica'!$B$5</f>
        <v>38.700000000000003</v>
      </c>
      <c r="X5" s="1263">
        <f ca="1">(INDEX('Datos Socios (2)'!$B$2:$B$27,'Factura Socios Sen CE (2)'!X2))*'Datos Custos Factura Eléctrica'!$B$5</f>
        <v>20.100000000000001</v>
      </c>
      <c r="Y5" s="1263">
        <f ca="1">(INDEX('Datos Socios (2)'!$B$2:$B$27,'Factura Socios Sen CE (2)'!Y2))*'Datos Custos Factura Eléctrica'!$B$5</f>
        <v>11.8</v>
      </c>
      <c r="Z5" s="1263">
        <f ca="1">(INDEX('Datos Socios (2)'!$B$2:$B$27,'Factura Socios Sen CE (2)'!Z2))*'Datos Custos Factura Eléctrica'!$B$5</f>
        <v>44.7</v>
      </c>
      <c r="AA5" s="150">
        <f ca="1">SUM(B5:Z5)</f>
        <v>855.4000000000002</v>
      </c>
    </row>
    <row r="6" spans="1:27" ht="15" thickBot="1" x14ac:dyDescent="0.4">
      <c r="A6" s="394" t="s">
        <v>577</v>
      </c>
      <c r="B6" s="1268">
        <f>'Datos Custos Factura Eléctrica'!$B$6*(365/12)</f>
        <v>1.1696729166666668</v>
      </c>
      <c r="C6" s="1268">
        <f>'Datos Custos Factura Eléctrica'!$B$6*(365/12)</f>
        <v>1.1696729166666668</v>
      </c>
      <c r="D6" s="1268">
        <f>'Datos Custos Factura Eléctrica'!$B$6*(365/12)</f>
        <v>1.1696729166666668</v>
      </c>
      <c r="E6" s="1268">
        <f>'Datos Custos Factura Eléctrica'!$B$6*(365/12)</f>
        <v>1.1696729166666668</v>
      </c>
      <c r="F6" s="1268">
        <f>'Datos Custos Factura Eléctrica'!$B$6*(365/12)</f>
        <v>1.1696729166666668</v>
      </c>
      <c r="G6" s="1268">
        <f>'Datos Custos Factura Eléctrica'!$B$6*(365/12)</f>
        <v>1.1696729166666668</v>
      </c>
      <c r="H6" s="1268">
        <f>'Datos Custos Factura Eléctrica'!$B$6*(365/12)</f>
        <v>1.1696729166666668</v>
      </c>
      <c r="I6" s="1268">
        <f>'Datos Custos Factura Eléctrica'!$B$6*(365/12)</f>
        <v>1.1696729166666668</v>
      </c>
      <c r="J6" s="1268">
        <f>'Datos Custos Factura Eléctrica'!$B$6*(365/12)</f>
        <v>1.1696729166666668</v>
      </c>
      <c r="K6" s="1268">
        <f>'Datos Custos Factura Eléctrica'!$B$6*(365/12)</f>
        <v>1.1696729166666668</v>
      </c>
      <c r="L6" s="1268">
        <f>'Datos Custos Factura Eléctrica'!$B$6*(365/12)</f>
        <v>1.1696729166666668</v>
      </c>
      <c r="M6" s="1268">
        <f>'Datos Custos Factura Eléctrica'!$B$6*(365/12)</f>
        <v>1.1696729166666668</v>
      </c>
      <c r="N6" s="1268">
        <f>'Datos Custos Factura Eléctrica'!$B$6*(365/12)</f>
        <v>1.1696729166666668</v>
      </c>
      <c r="O6" s="1268">
        <f>'Datos Custos Factura Eléctrica'!$B$6*(365/12)</f>
        <v>1.1696729166666668</v>
      </c>
      <c r="P6" s="1268">
        <f>'Datos Custos Factura Eléctrica'!$B$6*(365/12)</f>
        <v>1.1696729166666668</v>
      </c>
      <c r="Q6" s="1268">
        <f>'Datos Custos Factura Eléctrica'!$B$6*(365/12)</f>
        <v>1.1696729166666668</v>
      </c>
      <c r="R6" s="1268">
        <f>'Datos Custos Factura Eléctrica'!$B$6*(365/12)</f>
        <v>1.1696729166666668</v>
      </c>
      <c r="S6" s="1268">
        <f>'Datos Custos Factura Eléctrica'!$B$6*(365/12)</f>
        <v>1.1696729166666668</v>
      </c>
      <c r="T6" s="1268">
        <f>'Datos Custos Factura Eléctrica'!$B$6*(365/12)</f>
        <v>1.1696729166666668</v>
      </c>
      <c r="U6" s="1268">
        <f>'Datos Custos Factura Eléctrica'!$B$6*(365/12)</f>
        <v>1.1696729166666668</v>
      </c>
      <c r="V6" s="1268">
        <f>'Datos Custos Factura Eléctrica'!$B$6*(365/12)</f>
        <v>1.1696729166666668</v>
      </c>
      <c r="W6" s="1268">
        <f>'Datos Custos Factura Eléctrica'!$B$6*(365/12)</f>
        <v>1.1696729166666668</v>
      </c>
      <c r="X6" s="1268">
        <f>'Datos Custos Factura Eléctrica'!$B$6*(365/12)</f>
        <v>1.1696729166666668</v>
      </c>
      <c r="Y6" s="1268">
        <f>'Datos Custos Factura Eléctrica'!$B$6*(365/12)</f>
        <v>1.1696729166666668</v>
      </c>
      <c r="Z6" s="1268">
        <f>'Datos Custos Factura Eléctrica'!$B$6*(365/12)</f>
        <v>1.1696729166666668</v>
      </c>
      <c r="AA6" s="150">
        <f>SUM(B6:Z6)</f>
        <v>29.241822916666663</v>
      </c>
    </row>
    <row r="7" spans="1:27" ht="15" thickBot="1" x14ac:dyDescent="0.4">
      <c r="A7" s="1267" t="s">
        <v>1104</v>
      </c>
      <c r="B7" s="1266">
        <f t="shared" ref="B7:Z7" ca="1" si="0">SUM(B3:B6)</f>
        <v>24.418422916666668</v>
      </c>
      <c r="C7" s="1266">
        <f t="shared" ca="1" si="0"/>
        <v>54.51842291666668</v>
      </c>
      <c r="D7" s="1266">
        <f t="shared" ca="1" si="0"/>
        <v>63.818422916666677</v>
      </c>
      <c r="E7" s="1266">
        <f t="shared" ca="1" si="0"/>
        <v>57.718422916666668</v>
      </c>
      <c r="F7" s="1266">
        <f t="shared" ca="1" si="0"/>
        <v>42.718422916666668</v>
      </c>
      <c r="G7" s="1266">
        <f t="shared" ca="1" si="0"/>
        <v>39.018422916666673</v>
      </c>
      <c r="H7" s="1266">
        <f t="shared" ca="1" si="0"/>
        <v>36.418422916666671</v>
      </c>
      <c r="I7" s="1266">
        <f t="shared" ca="1" si="0"/>
        <v>65.718422916666668</v>
      </c>
      <c r="J7" s="1266">
        <f t="shared" ca="1" si="0"/>
        <v>41.418422916666671</v>
      </c>
      <c r="K7" s="1266">
        <f t="shared" ca="1" si="0"/>
        <v>59.818422916666677</v>
      </c>
      <c r="L7" s="1266">
        <f t="shared" ca="1" si="0"/>
        <v>45.118422916666674</v>
      </c>
      <c r="M7" s="1266">
        <f t="shared" ca="1" si="0"/>
        <v>61.818422916666677</v>
      </c>
      <c r="N7" s="1266">
        <f t="shared" ca="1" si="0"/>
        <v>59.51842291666668</v>
      </c>
      <c r="O7" s="1266">
        <f t="shared" ca="1" si="0"/>
        <v>41.818422916666677</v>
      </c>
      <c r="P7" s="1266">
        <f t="shared" ca="1" si="0"/>
        <v>45.418422916666671</v>
      </c>
      <c r="Q7" s="1266">
        <f t="shared" ca="1" si="0"/>
        <v>50.418422916666671</v>
      </c>
      <c r="R7" s="1266">
        <f t="shared" ca="1" si="0"/>
        <v>65.918422916666671</v>
      </c>
      <c r="S7" s="1266">
        <f t="shared" ca="1" si="0"/>
        <v>44.718422916666668</v>
      </c>
      <c r="T7" s="1266">
        <f t="shared" ca="1" si="0"/>
        <v>56.218422916666668</v>
      </c>
      <c r="U7" s="1266">
        <f t="shared" ca="1" si="0"/>
        <v>54.618422916666674</v>
      </c>
      <c r="V7" s="1266">
        <f t="shared" ca="1" si="0"/>
        <v>27.518422916666669</v>
      </c>
      <c r="W7" s="1266">
        <f t="shared" ca="1" si="0"/>
        <v>52.918422916666671</v>
      </c>
      <c r="X7" s="1266">
        <f t="shared" ca="1" si="0"/>
        <v>34.318422916666677</v>
      </c>
      <c r="Y7" s="1265">
        <f t="shared" ca="1" si="0"/>
        <v>26.018422916666669</v>
      </c>
      <c r="Z7" s="1264">
        <f t="shared" ca="1" si="0"/>
        <v>58.918422916666671</v>
      </c>
      <c r="AA7" s="1264">
        <f ca="1">SUM(B7:Z7)</f>
        <v>1210.8605729166668</v>
      </c>
    </row>
    <row r="8" spans="1:27" x14ac:dyDescent="0.35">
      <c r="A8" s="394"/>
      <c r="B8" s="371"/>
      <c r="C8" s="38"/>
    </row>
    <row r="9" spans="1:27" x14ac:dyDescent="0.35">
      <c r="A9" s="394" t="s">
        <v>582</v>
      </c>
      <c r="B9" s="1263">
        <f ca="1">B7*'Simulac. Factura Indiv. Sen CE'!$C$8</f>
        <v>0.12209211458333334</v>
      </c>
      <c r="C9" s="1263">
        <f ca="1">C7*'Simulac. Factura Indiv. Sen CE'!$C$8</f>
        <v>0.27259211458333338</v>
      </c>
      <c r="D9" s="1263">
        <f ca="1">D7*'Simulac. Factura Indiv. Sen CE'!$C$8</f>
        <v>0.31909211458333336</v>
      </c>
      <c r="E9" s="1263">
        <f ca="1">E7*'Simulac. Factura Indiv. Sen CE'!$C$8</f>
        <v>0.28859211458333334</v>
      </c>
      <c r="F9" s="1263">
        <f ca="1">F7*'Simulac. Factura Indiv. Sen CE'!$C$8</f>
        <v>0.21359211458333335</v>
      </c>
      <c r="G9" s="1263">
        <f ca="1">G7*'Simulac. Factura Indiv. Sen CE'!$C$8</f>
        <v>0.19509211458333336</v>
      </c>
      <c r="H9" s="1263">
        <f ca="1">H7*'Simulac. Factura Indiv. Sen CE'!$C$8</f>
        <v>0.18209211458333335</v>
      </c>
      <c r="I9" s="1263">
        <f ca="1">I7*'Simulac. Factura Indiv. Sen CE'!$C$8</f>
        <v>0.32859211458333337</v>
      </c>
      <c r="J9" s="1263">
        <f ca="1">J7*'Simulac. Factura Indiv. Sen CE'!$C$8</f>
        <v>0.20709211458333335</v>
      </c>
      <c r="K9" s="1263">
        <f ca="1">K7*'Simulac. Factura Indiv. Sen CE'!$C$8</f>
        <v>0.2990921145833334</v>
      </c>
      <c r="L9" s="1263">
        <f ca="1">L7*'Simulac. Factura Indiv. Sen CE'!$C$8</f>
        <v>0.22559211458333336</v>
      </c>
      <c r="M9" s="1263">
        <f ca="1">M7*'Simulac. Factura Indiv. Sen CE'!$C$8</f>
        <v>0.30909211458333341</v>
      </c>
      <c r="N9" s="1263">
        <f ca="1">N7*'Simulac. Factura Indiv. Sen CE'!$C$8</f>
        <v>0.2975921145833334</v>
      </c>
      <c r="O9" s="1263">
        <f ca="1">O7*'Simulac. Factura Indiv. Sen CE'!$C$8</f>
        <v>0.20909211458333338</v>
      </c>
      <c r="P9" s="1263">
        <f ca="1">P7*'Simulac. Factura Indiv. Sen CE'!$C$8</f>
        <v>0.22709211458333337</v>
      </c>
      <c r="Q9" s="1263">
        <f ca="1">Q7*'Simulac. Factura Indiv. Sen CE'!$C$8</f>
        <v>0.25209211458333336</v>
      </c>
      <c r="R9" s="1263">
        <f ca="1">R7*'Simulac. Factura Indiv. Sen CE'!$C$8</f>
        <v>0.32959211458333337</v>
      </c>
      <c r="S9" s="1263">
        <f ca="1">S7*'Simulac. Factura Indiv. Sen CE'!$C$8</f>
        <v>0.22359211458333333</v>
      </c>
      <c r="T9" s="1263">
        <f ca="1">T7*'Simulac. Factura Indiv. Sen CE'!$C$8</f>
        <v>0.28109211458333333</v>
      </c>
      <c r="U9" s="1263">
        <f ca="1">U7*'Simulac. Factura Indiv. Sen CE'!$C$8</f>
        <v>0.27309211458333338</v>
      </c>
      <c r="V9" s="1263">
        <f ca="1">V7*'Simulac. Factura Indiv. Sen CE'!$C$8</f>
        <v>0.13759211458333334</v>
      </c>
      <c r="W9" s="1263">
        <f ca="1">W7*'Simulac. Factura Indiv. Sen CE'!$C$8</f>
        <v>0.26459211458333337</v>
      </c>
      <c r="X9" s="1263">
        <f ca="1">X7*'Simulac. Factura Indiv. Sen CE'!$C$8</f>
        <v>0.1715921145833334</v>
      </c>
      <c r="Y9" s="1263">
        <f ca="1">Y7*'Simulac. Factura Indiv. Sen CE'!$C$8</f>
        <v>0.13009211458333333</v>
      </c>
      <c r="Z9" s="1263">
        <f ca="1">Z7*'Simulac. Factura Indiv. Sen CE'!$C$8</f>
        <v>0.29459211458333334</v>
      </c>
      <c r="AA9" s="150">
        <f ca="1">SUM(B9:Z9)</f>
        <v>6.0543028645833337</v>
      </c>
    </row>
    <row r="10" spans="1:27" x14ac:dyDescent="0.35">
      <c r="A10" s="394"/>
      <c r="B10" s="371"/>
      <c r="C10" s="38"/>
    </row>
    <row r="11" spans="1:27" x14ac:dyDescent="0.35">
      <c r="A11" s="394" t="s">
        <v>585</v>
      </c>
      <c r="B11" s="1268">
        <f>'Datos Custos Factura Eléctrica'!$B$11*(365/12)</f>
        <v>0.81474083333333336</v>
      </c>
      <c r="C11" s="1268">
        <f>'Datos Custos Factura Eléctrica'!$B$11*(365/12)</f>
        <v>0.81474083333333336</v>
      </c>
      <c r="D11" s="1268">
        <f>'Datos Custos Factura Eléctrica'!$B$11*(365/12)</f>
        <v>0.81474083333333336</v>
      </c>
      <c r="E11" s="1268">
        <f>'Datos Custos Factura Eléctrica'!$B$11*(365/12)</f>
        <v>0.81474083333333336</v>
      </c>
      <c r="F11" s="1268">
        <f>'Datos Custos Factura Eléctrica'!$B$11*(365/12)</f>
        <v>0.81474083333333336</v>
      </c>
      <c r="G11" s="1268">
        <f>'Datos Custos Factura Eléctrica'!$B$11*(365/12)</f>
        <v>0.81474083333333336</v>
      </c>
      <c r="H11" s="1268">
        <f>'Datos Custos Factura Eléctrica'!$B$11*(365/12)</f>
        <v>0.81474083333333336</v>
      </c>
      <c r="I11" s="1268">
        <f>'Datos Custos Factura Eléctrica'!$B$11*(365/12)</f>
        <v>0.81474083333333336</v>
      </c>
      <c r="J11" s="1268">
        <f>'Datos Custos Factura Eléctrica'!$B$11*(365/12)</f>
        <v>0.81474083333333336</v>
      </c>
      <c r="K11" s="1268">
        <f>'Datos Custos Factura Eléctrica'!$B$11*(365/12)</f>
        <v>0.81474083333333336</v>
      </c>
      <c r="L11" s="1268">
        <f>'Datos Custos Factura Eléctrica'!$B$11*(365/12)</f>
        <v>0.81474083333333336</v>
      </c>
      <c r="M11" s="1268">
        <f>'Datos Custos Factura Eléctrica'!$B$11*(365/12)</f>
        <v>0.81474083333333336</v>
      </c>
      <c r="N11" s="1268">
        <f>'Datos Custos Factura Eléctrica'!$B$11*(365/12)</f>
        <v>0.81474083333333336</v>
      </c>
      <c r="O11" s="1268">
        <f>'Datos Custos Factura Eléctrica'!$B$11*(365/12)</f>
        <v>0.81474083333333336</v>
      </c>
      <c r="P11" s="1268">
        <f>'Datos Custos Factura Eléctrica'!$B$11*(365/12)</f>
        <v>0.81474083333333336</v>
      </c>
      <c r="Q11" s="1268">
        <f>'Datos Custos Factura Eléctrica'!$B$11*(365/12)</f>
        <v>0.81474083333333336</v>
      </c>
      <c r="R11" s="1268">
        <f>'Datos Custos Factura Eléctrica'!$B$11*(365/12)</f>
        <v>0.81474083333333336</v>
      </c>
      <c r="S11" s="1268">
        <f>'Datos Custos Factura Eléctrica'!$B$11*(365/12)</f>
        <v>0.81474083333333336</v>
      </c>
      <c r="T11" s="1268">
        <f>'Datos Custos Factura Eléctrica'!$B$11*(365/12)</f>
        <v>0.81474083333333336</v>
      </c>
      <c r="U11" s="1268">
        <f>'Datos Custos Factura Eléctrica'!$B$11*(365/12)</f>
        <v>0.81474083333333336</v>
      </c>
      <c r="V11" s="1268">
        <f>'Datos Custos Factura Eléctrica'!$B$11*(365/12)</f>
        <v>0.81474083333333336</v>
      </c>
      <c r="W11" s="1268">
        <f>'Datos Custos Factura Eléctrica'!$B$11*(365/12)</f>
        <v>0.81474083333333336</v>
      </c>
      <c r="X11" s="1268">
        <f>'Datos Custos Factura Eléctrica'!$B$11*(365/12)</f>
        <v>0.81474083333333336</v>
      </c>
      <c r="Y11" s="1268">
        <f>'Datos Custos Factura Eléctrica'!$B$11*(365/12)</f>
        <v>0.81474083333333336</v>
      </c>
      <c r="Z11" s="1268">
        <f>'Datos Custos Factura Eléctrica'!$B$11*(365/12)</f>
        <v>0.81474083333333336</v>
      </c>
      <c r="AA11" s="150">
        <f>SUM(B11:Z11)</f>
        <v>20.368520833333324</v>
      </c>
    </row>
    <row r="12" spans="1:27" ht="15" thickBot="1" x14ac:dyDescent="0.4">
      <c r="A12" s="394"/>
      <c r="B12" s="371"/>
      <c r="C12" s="38"/>
    </row>
    <row r="13" spans="1:27" ht="15" thickBot="1" x14ac:dyDescent="0.4">
      <c r="A13" s="1267" t="s">
        <v>1103</v>
      </c>
      <c r="B13" s="1266">
        <f t="shared" ref="B13:Z13" ca="1" si="1">B7+B9+B11</f>
        <v>25.355255864583331</v>
      </c>
      <c r="C13" s="1266">
        <f t="shared" ca="1" si="1"/>
        <v>55.605755864583344</v>
      </c>
      <c r="D13" s="1266">
        <f t="shared" ca="1" si="1"/>
        <v>64.952255864583336</v>
      </c>
      <c r="E13" s="1266">
        <f t="shared" ca="1" si="1"/>
        <v>58.821755864583331</v>
      </c>
      <c r="F13" s="1266">
        <f t="shared" ca="1" si="1"/>
        <v>43.746755864583335</v>
      </c>
      <c r="G13" s="1266">
        <f t="shared" ca="1" si="1"/>
        <v>40.028255864583336</v>
      </c>
      <c r="H13" s="1266">
        <f t="shared" ca="1" si="1"/>
        <v>37.415255864583337</v>
      </c>
      <c r="I13" s="1266">
        <f t="shared" ca="1" si="1"/>
        <v>66.86175586458333</v>
      </c>
      <c r="J13" s="1266">
        <f t="shared" ca="1" si="1"/>
        <v>42.440255864583335</v>
      </c>
      <c r="K13" s="1266">
        <f t="shared" ca="1" si="1"/>
        <v>60.93225586458334</v>
      </c>
      <c r="L13" s="1266">
        <f t="shared" ca="1" si="1"/>
        <v>46.158755864583341</v>
      </c>
      <c r="M13" s="1266">
        <f t="shared" ca="1" si="1"/>
        <v>62.942255864583345</v>
      </c>
      <c r="N13" s="1266">
        <f t="shared" ca="1" si="1"/>
        <v>60.630755864583342</v>
      </c>
      <c r="O13" s="1266">
        <f t="shared" ca="1" si="1"/>
        <v>42.842255864583343</v>
      </c>
      <c r="P13" s="1266">
        <f t="shared" ca="1" si="1"/>
        <v>46.460255864583338</v>
      </c>
      <c r="Q13" s="1266">
        <f t="shared" ca="1" si="1"/>
        <v>51.485255864583337</v>
      </c>
      <c r="R13" s="1266">
        <f t="shared" ca="1" si="1"/>
        <v>67.062755864583337</v>
      </c>
      <c r="S13" s="1266">
        <f t="shared" ca="1" si="1"/>
        <v>45.756755864583333</v>
      </c>
      <c r="T13" s="1266">
        <f t="shared" ca="1" si="1"/>
        <v>57.31425586458333</v>
      </c>
      <c r="U13" s="1266">
        <f t="shared" ca="1" si="1"/>
        <v>55.706255864583341</v>
      </c>
      <c r="V13" s="1266">
        <f t="shared" ca="1" si="1"/>
        <v>28.470755864583335</v>
      </c>
      <c r="W13" s="1266">
        <f t="shared" ca="1" si="1"/>
        <v>53.997755864583333</v>
      </c>
      <c r="X13" s="1266">
        <f t="shared" ca="1" si="1"/>
        <v>35.304755864583342</v>
      </c>
      <c r="Y13" s="1265">
        <f t="shared" ca="1" si="1"/>
        <v>26.963255864583335</v>
      </c>
      <c r="Z13" s="1264">
        <f t="shared" ca="1" si="1"/>
        <v>60.027755864583334</v>
      </c>
      <c r="AA13" s="1264">
        <f ca="1">SUM(B13:Z13)</f>
        <v>1237.2833966145829</v>
      </c>
    </row>
    <row r="14" spans="1:27" x14ac:dyDescent="0.35">
      <c r="A14" s="394"/>
      <c r="B14" s="371"/>
      <c r="C14" s="38"/>
    </row>
    <row r="15" spans="1:27" x14ac:dyDescent="0.35">
      <c r="A15" s="394" t="s">
        <v>1102</v>
      </c>
      <c r="B15" s="1263">
        <f ca="1">'Simulac. Factura Indiv. Sen CE'!$C$14*B13</f>
        <v>5.3246037315624992</v>
      </c>
      <c r="C15" s="1263">
        <f ca="1">'Simulac. Factura Indiv. Sen CE'!$C$14*C13</f>
        <v>11.677208731562501</v>
      </c>
      <c r="D15" s="1263">
        <f ca="1">'Simulac. Factura Indiv. Sen CE'!$C$14*D13</f>
        <v>13.639973731562501</v>
      </c>
      <c r="E15" s="1263">
        <f ca="1">'Simulac. Factura Indiv. Sen CE'!$C$14*E13</f>
        <v>12.352568731562499</v>
      </c>
      <c r="F15" s="1263">
        <f ca="1">'Simulac. Factura Indiv. Sen CE'!$C$14*F13</f>
        <v>9.1868187315625001</v>
      </c>
      <c r="G15" s="1263">
        <f ca="1">'Simulac. Factura Indiv. Sen CE'!$C$14*G13</f>
        <v>8.4059337315625005</v>
      </c>
      <c r="H15" s="1263">
        <f ca="1">'Simulac. Factura Indiv. Sen CE'!$C$14*H13</f>
        <v>7.8572037315625005</v>
      </c>
      <c r="I15" s="1263">
        <f ca="1">'Simulac. Factura Indiv. Sen CE'!$C$14*I13</f>
        <v>14.040968731562499</v>
      </c>
      <c r="J15" s="1263">
        <f ca="1">'Simulac. Factura Indiv. Sen CE'!$C$14*J13</f>
        <v>8.9124537315625005</v>
      </c>
      <c r="K15" s="1263">
        <f ca="1">'Simulac. Factura Indiv. Sen CE'!$C$14*K13</f>
        <v>12.7957737315625</v>
      </c>
      <c r="L15" s="1263">
        <f ca="1">'Simulac. Factura Indiv. Sen CE'!$C$14*L13</f>
        <v>9.6933387315625019</v>
      </c>
      <c r="M15" s="1263">
        <f ca="1">'Simulac. Factura Indiv. Sen CE'!$C$14*M13</f>
        <v>13.217873731562502</v>
      </c>
      <c r="N15" s="1263">
        <f ca="1">'Simulac. Factura Indiv. Sen CE'!$C$14*N13</f>
        <v>12.732458731562501</v>
      </c>
      <c r="O15" s="1263">
        <f ca="1">'Simulac. Factura Indiv. Sen CE'!$C$14*O13</f>
        <v>8.996873731562502</v>
      </c>
      <c r="P15" s="1263">
        <f ca="1">'Simulac. Factura Indiv. Sen CE'!$C$14*P13</f>
        <v>9.7566537315625013</v>
      </c>
      <c r="Q15" s="1263">
        <f ca="1">'Simulac. Factura Indiv. Sen CE'!$C$14*Q13</f>
        <v>10.8119037315625</v>
      </c>
      <c r="R15" s="1263">
        <f ca="1">'Simulac. Factura Indiv. Sen CE'!$C$14*R13</f>
        <v>14.0831787315625</v>
      </c>
      <c r="S15" s="1263">
        <f ca="1">'Simulac. Factura Indiv. Sen CE'!$C$14*S13</f>
        <v>9.6089187315625004</v>
      </c>
      <c r="T15" s="1263">
        <f ca="1">'Simulac. Factura Indiv. Sen CE'!$C$14*T13</f>
        <v>12.035993731562499</v>
      </c>
      <c r="U15" s="1263">
        <f ca="1">'Simulac. Factura Indiv. Sen CE'!$C$14*U13</f>
        <v>11.698313731562502</v>
      </c>
      <c r="V15" s="1263">
        <f ca="1">'Simulac. Factura Indiv. Sen CE'!$C$14*V13</f>
        <v>5.9788587315625001</v>
      </c>
      <c r="W15" s="1263">
        <f ca="1">'Simulac. Factura Indiv. Sen CE'!$C$14*W13</f>
        <v>11.339528731562499</v>
      </c>
      <c r="X15" s="1263">
        <f ca="1">'Simulac. Factura Indiv. Sen CE'!$C$14*X13</f>
        <v>7.4139987315625016</v>
      </c>
      <c r="Y15" s="1263">
        <f ca="1">'Simulac. Factura Indiv. Sen CE'!$C$14*Y13</f>
        <v>5.6622837315624999</v>
      </c>
      <c r="Z15" s="1263">
        <f ca="1">'Simulac. Factura Indiv. Sen CE'!$C$14*Z13</f>
        <v>12.6058287315625</v>
      </c>
      <c r="AA15" s="150">
        <f ca="1">SUM(B15:Z15)</f>
        <v>259.82951328906256</v>
      </c>
    </row>
    <row r="16" spans="1:27" ht="15" thickBot="1" x14ac:dyDescent="0.4">
      <c r="A16" s="394"/>
      <c r="B16" s="371"/>
      <c r="C16" s="38"/>
    </row>
    <row r="17" spans="1:27" ht="15" thickBot="1" x14ac:dyDescent="0.4">
      <c r="A17" s="1262" t="s">
        <v>1101</v>
      </c>
      <c r="B17" s="1261">
        <f t="shared" ref="B17:Z17" ca="1" si="2">B13+B15</f>
        <v>30.679859596145832</v>
      </c>
      <c r="C17" s="1261">
        <f t="shared" ca="1" si="2"/>
        <v>67.282964596145845</v>
      </c>
      <c r="D17" s="1261">
        <f t="shared" ca="1" si="2"/>
        <v>78.592229596145842</v>
      </c>
      <c r="E17" s="1261">
        <f t="shared" ca="1" si="2"/>
        <v>71.174324596145823</v>
      </c>
      <c r="F17" s="1261">
        <f t="shared" ca="1" si="2"/>
        <v>52.933574596145831</v>
      </c>
      <c r="G17" s="1261">
        <f t="shared" ca="1" si="2"/>
        <v>48.434189596145835</v>
      </c>
      <c r="H17" s="1261">
        <f t="shared" ca="1" si="2"/>
        <v>45.272459596145836</v>
      </c>
      <c r="I17" s="1261">
        <f t="shared" ca="1" si="2"/>
        <v>80.902724596145831</v>
      </c>
      <c r="J17" s="1261">
        <f t="shared" ca="1" si="2"/>
        <v>51.352709596145836</v>
      </c>
      <c r="K17" s="1261">
        <f t="shared" ca="1" si="2"/>
        <v>73.728029596145845</v>
      </c>
      <c r="L17" s="1261">
        <f t="shared" ca="1" si="2"/>
        <v>55.852094596145847</v>
      </c>
      <c r="M17" s="1261">
        <f t="shared" ca="1" si="2"/>
        <v>76.16012959614585</v>
      </c>
      <c r="N17" s="1261">
        <f t="shared" ca="1" si="2"/>
        <v>73.363214596145838</v>
      </c>
      <c r="O17" s="1261">
        <f t="shared" ca="1" si="2"/>
        <v>51.839129596145845</v>
      </c>
      <c r="P17" s="1261">
        <f t="shared" ca="1" si="2"/>
        <v>56.21690959614584</v>
      </c>
      <c r="Q17" s="1261">
        <f t="shared" ca="1" si="2"/>
        <v>62.297159596145839</v>
      </c>
      <c r="R17" s="1261">
        <f t="shared" ca="1" si="2"/>
        <v>81.145934596145835</v>
      </c>
      <c r="S17" s="1261">
        <f t="shared" ca="1" si="2"/>
        <v>55.365674596145837</v>
      </c>
      <c r="T17" s="1261">
        <f t="shared" ca="1" si="2"/>
        <v>69.350249596145829</v>
      </c>
      <c r="U17" s="1261">
        <f t="shared" ca="1" si="2"/>
        <v>67.404569596145848</v>
      </c>
      <c r="V17" s="1261">
        <f t="shared" ca="1" si="2"/>
        <v>34.449614596145835</v>
      </c>
      <c r="W17" s="1261">
        <f t="shared" ca="1" si="2"/>
        <v>65.337284596145835</v>
      </c>
      <c r="X17" s="1261">
        <f t="shared" ca="1" si="2"/>
        <v>42.718754596145843</v>
      </c>
      <c r="Y17" s="1261">
        <f t="shared" ca="1" si="2"/>
        <v>32.625539596145835</v>
      </c>
      <c r="Z17" s="1260">
        <f t="shared" ca="1" si="2"/>
        <v>72.633584596145838</v>
      </c>
      <c r="AA17" s="1259">
        <f ca="1">SUM(B17:Z17)</f>
        <v>1497.1129099036461</v>
      </c>
    </row>
    <row r="18" spans="1:27" x14ac:dyDescent="0.35">
      <c r="B18" s="371"/>
      <c r="C18" s="38"/>
    </row>
    <row r="19" spans="1:27" x14ac:dyDescent="0.35">
      <c r="B19" s="371"/>
      <c r="C19" s="38"/>
    </row>
    <row r="20" spans="1:27" x14ac:dyDescent="0.35">
      <c r="B20" s="371"/>
      <c r="C20" s="38"/>
    </row>
    <row r="21" spans="1:27" x14ac:dyDescent="0.35">
      <c r="B21" s="371"/>
      <c r="C21" s="38"/>
    </row>
    <row r="22" spans="1:27" x14ac:dyDescent="0.35">
      <c r="B22" s="371"/>
      <c r="C22" s="38"/>
    </row>
    <row r="23" spans="1:27" x14ac:dyDescent="0.35">
      <c r="B23" s="371"/>
      <c r="C23" s="38"/>
    </row>
    <row r="24" spans="1:27" x14ac:dyDescent="0.35">
      <c r="B24" s="371"/>
      <c r="C24" s="38"/>
    </row>
    <row r="25" spans="1:27" x14ac:dyDescent="0.35">
      <c r="B25" s="371"/>
      <c r="C25" s="38"/>
    </row>
    <row r="26" spans="1:27" x14ac:dyDescent="0.35">
      <c r="B26" s="371"/>
      <c r="C26" s="1258"/>
    </row>
  </sheetData>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B3693-00E7-4819-A6AE-2A26565D106C}">
  <dimension ref="A1:AA44"/>
  <sheetViews>
    <sheetView topLeftCell="A10" workbookViewId="0">
      <selection activeCell="F2" sqref="F2"/>
    </sheetView>
  </sheetViews>
  <sheetFormatPr baseColWidth="10" defaultColWidth="11.54296875" defaultRowHeight="14.5" x14ac:dyDescent="0.35"/>
  <cols>
    <col min="1" max="1" width="53.453125" bestFit="1" customWidth="1"/>
    <col min="2" max="2" width="12.36328125" bestFit="1" customWidth="1"/>
    <col min="3" max="3" width="13.90625" customWidth="1"/>
    <col min="27" max="27" width="11.54296875" bestFit="1" customWidth="1"/>
  </cols>
  <sheetData>
    <row r="1" spans="1:27" x14ac:dyDescent="0.35">
      <c r="B1" s="174" t="s">
        <v>1156</v>
      </c>
      <c r="C1" s="1269"/>
    </row>
    <row r="2" spans="1:27" ht="43.5" x14ac:dyDescent="0.35">
      <c r="B2" s="371">
        <v>1</v>
      </c>
      <c r="C2" s="371">
        <v>2</v>
      </c>
      <c r="D2" s="371">
        <v>3</v>
      </c>
      <c r="E2" s="371">
        <v>4</v>
      </c>
      <c r="F2" s="371">
        <v>5</v>
      </c>
      <c r="G2" s="371">
        <v>6</v>
      </c>
      <c r="H2" s="371">
        <v>7</v>
      </c>
      <c r="I2" s="371">
        <v>8</v>
      </c>
      <c r="J2" s="371">
        <v>9</v>
      </c>
      <c r="K2" s="371">
        <v>10</v>
      </c>
      <c r="L2" s="371">
        <v>11</v>
      </c>
      <c r="M2" s="371">
        <v>12</v>
      </c>
      <c r="N2" s="371">
        <v>13</v>
      </c>
      <c r="O2" s="371">
        <v>14</v>
      </c>
      <c r="P2" s="371">
        <v>15</v>
      </c>
      <c r="Q2" s="371">
        <v>16</v>
      </c>
      <c r="R2" s="371">
        <v>17</v>
      </c>
      <c r="S2" s="371">
        <v>18</v>
      </c>
      <c r="T2" s="371">
        <v>19</v>
      </c>
      <c r="U2" s="371">
        <v>20</v>
      </c>
      <c r="V2" s="371">
        <v>21</v>
      </c>
      <c r="W2" s="371">
        <v>22</v>
      </c>
      <c r="X2" s="371">
        <v>23</v>
      </c>
      <c r="Y2" s="371">
        <v>24</v>
      </c>
      <c r="Z2" s="371">
        <v>25</v>
      </c>
      <c r="AA2" s="371" t="s">
        <v>1148</v>
      </c>
    </row>
    <row r="3" spans="1:27" x14ac:dyDescent="0.35">
      <c r="A3" s="394" t="s">
        <v>571</v>
      </c>
      <c r="B3" s="1268">
        <f>'Simulac. Factura Indiv. Sen CE'!$B$3*(365/12)*'Datos Custos Factura Eléctrica'!$B$3</f>
        <v>10.037500000000001</v>
      </c>
      <c r="C3" s="1268">
        <f>'Simulac. Factura Indiv. Sen CE'!$B$3*(365/12)*'Datos Custos Factura Eléctrica'!$B$3</f>
        <v>10.037500000000001</v>
      </c>
      <c r="D3" s="1268">
        <f>'Simulac. Factura Indiv. Sen CE'!$B$3*(365/12)*'Datos Custos Factura Eléctrica'!$B$3</f>
        <v>10.037500000000001</v>
      </c>
      <c r="E3" s="1268">
        <f>'Simulac. Factura Indiv. Sen CE'!$B$3*(365/12)*'Datos Custos Factura Eléctrica'!$B$3</f>
        <v>10.037500000000001</v>
      </c>
      <c r="F3" s="1268">
        <f>'Simulac. Factura Indiv. Sen CE'!$B$3*(365/12)*'Datos Custos Factura Eléctrica'!$B$3</f>
        <v>10.037500000000001</v>
      </c>
      <c r="G3" s="1268">
        <f>'Simulac. Factura Indiv. Sen CE'!$B$3*(365/12)*'Datos Custos Factura Eléctrica'!$B$3</f>
        <v>10.037500000000001</v>
      </c>
      <c r="H3" s="1268">
        <f>'Simulac. Factura Indiv. Sen CE'!$B$3*(365/12)*'Datos Custos Factura Eléctrica'!$B$3</f>
        <v>10.037500000000001</v>
      </c>
      <c r="I3" s="1268">
        <f>'Simulac. Factura Indiv. Sen CE'!$B$3*(365/12)*'Datos Custos Factura Eléctrica'!$B$3</f>
        <v>10.037500000000001</v>
      </c>
      <c r="J3" s="1268">
        <f>'Simulac. Factura Indiv. Sen CE'!$B$3*(365/12)*'Datos Custos Factura Eléctrica'!$B$3</f>
        <v>10.037500000000001</v>
      </c>
      <c r="K3" s="1268">
        <f>'Simulac. Factura Indiv. Sen CE'!$B$3*(365/12)*'Datos Custos Factura Eléctrica'!$B$3</f>
        <v>10.037500000000001</v>
      </c>
      <c r="L3" s="1268">
        <f>'Simulac. Factura Indiv. Sen CE'!$B$3*(365/12)*'Datos Custos Factura Eléctrica'!$B$3</f>
        <v>10.037500000000001</v>
      </c>
      <c r="M3" s="1268">
        <f>'Simulac. Factura Indiv. Sen CE'!$B$3*(365/12)*'Datos Custos Factura Eléctrica'!$B$3</f>
        <v>10.037500000000001</v>
      </c>
      <c r="N3" s="1268">
        <f>'Simulac. Factura Indiv. Sen CE'!$B$3*(365/12)*'Datos Custos Factura Eléctrica'!$B$3</f>
        <v>10.037500000000001</v>
      </c>
      <c r="O3" s="1268">
        <f>'Simulac. Factura Indiv. Sen CE'!$B$3*(365/12)*'Datos Custos Factura Eléctrica'!$B$3</f>
        <v>10.037500000000001</v>
      </c>
      <c r="P3" s="1268">
        <f>'Simulac. Factura Indiv. Sen CE'!$B$3*(365/12)*'Datos Custos Factura Eléctrica'!$B$3</f>
        <v>10.037500000000001</v>
      </c>
      <c r="Q3" s="1268">
        <f>'Simulac. Factura Indiv. Sen CE'!$B$3*(365/12)*'Datos Custos Factura Eléctrica'!$B$3</f>
        <v>10.037500000000001</v>
      </c>
      <c r="R3" s="1268">
        <f>'Simulac. Factura Indiv. Sen CE'!$B$3*(365/12)*'Datos Custos Factura Eléctrica'!$B$3</f>
        <v>10.037500000000001</v>
      </c>
      <c r="S3" s="1268">
        <f>'Simulac. Factura Indiv. Sen CE'!$B$3*(365/12)*'Datos Custos Factura Eléctrica'!$B$3</f>
        <v>10.037500000000001</v>
      </c>
      <c r="T3" s="1268">
        <f>'Simulac. Factura Indiv. Sen CE'!$B$3*(365/12)*'Datos Custos Factura Eléctrica'!$B$3</f>
        <v>10.037500000000001</v>
      </c>
      <c r="U3" s="1268">
        <f>'Simulac. Factura Indiv. Sen CE'!$B$3*(365/12)*'Datos Custos Factura Eléctrica'!$B$3</f>
        <v>10.037500000000001</v>
      </c>
      <c r="V3" s="1268">
        <f>'Simulac. Factura Indiv. Sen CE'!$B$3*(365/12)*'Datos Custos Factura Eléctrica'!$B$3</f>
        <v>10.037500000000001</v>
      </c>
      <c r="W3" s="1268">
        <f>'Simulac. Factura Indiv. Sen CE'!$B$3*(365/12)*'Datos Custos Factura Eléctrica'!$B$3</f>
        <v>10.037500000000001</v>
      </c>
      <c r="X3" s="1268">
        <f>'Simulac. Factura Indiv. Sen CE'!$B$3*(365/12)*'Datos Custos Factura Eléctrica'!$B$3</f>
        <v>10.037500000000001</v>
      </c>
      <c r="Y3" s="1268">
        <f>'Simulac. Factura Indiv. Sen CE'!$B$3*(365/12)*'Datos Custos Factura Eléctrica'!$B$3</f>
        <v>10.037500000000001</v>
      </c>
      <c r="Z3" s="1268">
        <f>'Simulac. Factura Indiv. Sen CE'!$B$3*(365/12)*'Datos Custos Factura Eléctrica'!$B$3</f>
        <v>10.037500000000001</v>
      </c>
      <c r="AA3" s="150">
        <f>SUM(B3:Z3)</f>
        <v>250.93749999999991</v>
      </c>
    </row>
    <row r="4" spans="1:27" x14ac:dyDescent="0.35">
      <c r="A4" s="394" t="s">
        <v>574</v>
      </c>
      <c r="B4" s="1268">
        <f>'Simulac. Factura Indiv. Sen CE'!$B$3*(365/12)*'Datos Custos Factura Eléctrica'!$B4</f>
        <v>3.01125</v>
      </c>
      <c r="C4" s="1268">
        <f>'Simulac. Factura Indiv. Sen CE'!$B$3*(365/12)*'Datos Custos Factura Eléctrica'!$B4</f>
        <v>3.01125</v>
      </c>
      <c r="D4" s="1268">
        <f>'Simulac. Factura Indiv. Sen CE'!$B$3*(365/12)*'Datos Custos Factura Eléctrica'!$B4</f>
        <v>3.01125</v>
      </c>
      <c r="E4" s="1268">
        <f>'Simulac. Factura Indiv. Sen CE'!$B$3*(365/12)*'Datos Custos Factura Eléctrica'!$B4</f>
        <v>3.01125</v>
      </c>
      <c r="F4" s="1268">
        <f>'Simulac. Factura Indiv. Sen CE'!$B$3*(365/12)*'Datos Custos Factura Eléctrica'!$B4</f>
        <v>3.01125</v>
      </c>
      <c r="G4" s="1268">
        <f>'Simulac. Factura Indiv. Sen CE'!$B$3*(365/12)*'Datos Custos Factura Eléctrica'!$B4</f>
        <v>3.01125</v>
      </c>
      <c r="H4" s="1268">
        <f>'Simulac. Factura Indiv. Sen CE'!$B$3*(365/12)*'Datos Custos Factura Eléctrica'!$B4</f>
        <v>3.01125</v>
      </c>
      <c r="I4" s="1268">
        <f>'Simulac. Factura Indiv. Sen CE'!$B$3*(365/12)*'Datos Custos Factura Eléctrica'!$B4</f>
        <v>3.01125</v>
      </c>
      <c r="J4" s="1268">
        <f>'Simulac. Factura Indiv. Sen CE'!$B$3*(365/12)*'Datos Custos Factura Eléctrica'!$B4</f>
        <v>3.01125</v>
      </c>
      <c r="K4" s="1268">
        <f>'Simulac. Factura Indiv. Sen CE'!$B$3*(365/12)*'Datos Custos Factura Eléctrica'!$B4</f>
        <v>3.01125</v>
      </c>
      <c r="L4" s="1268">
        <f>'Simulac. Factura Indiv. Sen CE'!$B$3*(365/12)*'Datos Custos Factura Eléctrica'!$B4</f>
        <v>3.01125</v>
      </c>
      <c r="M4" s="1268">
        <f>'Simulac. Factura Indiv. Sen CE'!$B$3*(365/12)*'Datos Custos Factura Eléctrica'!$B4</f>
        <v>3.01125</v>
      </c>
      <c r="N4" s="1268">
        <f>'Simulac. Factura Indiv. Sen CE'!$B$3*(365/12)*'Datos Custos Factura Eléctrica'!$B4</f>
        <v>3.01125</v>
      </c>
      <c r="O4" s="1268">
        <f>'Simulac. Factura Indiv. Sen CE'!$B$3*(365/12)*'Datos Custos Factura Eléctrica'!$B4</f>
        <v>3.01125</v>
      </c>
      <c r="P4" s="1268">
        <f>'Simulac. Factura Indiv. Sen CE'!$B$3*(365/12)*'Datos Custos Factura Eléctrica'!$B4</f>
        <v>3.01125</v>
      </c>
      <c r="Q4" s="1268">
        <f>'Simulac. Factura Indiv. Sen CE'!$B$3*(365/12)*'Datos Custos Factura Eléctrica'!$B4</f>
        <v>3.01125</v>
      </c>
      <c r="R4" s="1268">
        <f>'Simulac. Factura Indiv. Sen CE'!$B$3*(365/12)*'Datos Custos Factura Eléctrica'!$B4</f>
        <v>3.01125</v>
      </c>
      <c r="S4" s="1268">
        <f>'Simulac. Factura Indiv. Sen CE'!$B$3*(365/12)*'Datos Custos Factura Eléctrica'!$B4</f>
        <v>3.01125</v>
      </c>
      <c r="T4" s="1268">
        <f>'Simulac. Factura Indiv. Sen CE'!$B$3*(365/12)*'Datos Custos Factura Eléctrica'!$B4</f>
        <v>3.01125</v>
      </c>
      <c r="U4" s="1268">
        <f>'Simulac. Factura Indiv. Sen CE'!$B$3*(365/12)*'Datos Custos Factura Eléctrica'!$B4</f>
        <v>3.01125</v>
      </c>
      <c r="V4" s="1268">
        <f>'Simulac. Factura Indiv. Sen CE'!$B$3*(365/12)*'Datos Custos Factura Eléctrica'!$B4</f>
        <v>3.01125</v>
      </c>
      <c r="W4" s="1268">
        <f>'Simulac. Factura Indiv. Sen CE'!$B$3*(365/12)*'Datos Custos Factura Eléctrica'!$B4</f>
        <v>3.01125</v>
      </c>
      <c r="X4" s="1268">
        <f>'Simulac. Factura Indiv. Sen CE'!$B$3*(365/12)*'Datos Custos Factura Eléctrica'!$B4</f>
        <v>3.01125</v>
      </c>
      <c r="Y4" s="1268">
        <f>'Simulac. Factura Indiv. Sen CE'!$B$3*(365/12)*'Datos Custos Factura Eléctrica'!$B4</f>
        <v>3.01125</v>
      </c>
      <c r="Z4" s="1268">
        <f>'Simulac. Factura Indiv. Sen CE'!$B$3*(365/12)*'Datos Custos Factura Eléctrica'!$B4</f>
        <v>3.01125</v>
      </c>
      <c r="AA4" s="150">
        <f>SUM(B4:Z4)</f>
        <v>75.281249999999986</v>
      </c>
    </row>
    <row r="5" spans="1:27" x14ac:dyDescent="0.35">
      <c r="A5" s="1325" t="s">
        <v>1099</v>
      </c>
      <c r="B5" s="1324">
        <f ca="1">B40*'Datos Custos Factura Eléctrica'!$B$5</f>
        <v>5.7621931260229138</v>
      </c>
      <c r="C5" s="1324">
        <f ca="1">C40*'Datos Custos Factura Eléctrica'!$B$5</f>
        <v>22.76631205673759</v>
      </c>
      <c r="D5" s="1324">
        <f ca="1">D40*'Datos Custos Factura Eléctrica'!$B$5</f>
        <v>28.020076377523186</v>
      </c>
      <c r="E5" s="1324">
        <f ca="1">E40*'Datos Custos Factura Eléctrica'!$B$5</f>
        <v>24.574058919803605</v>
      </c>
      <c r="F5" s="1324">
        <f ca="1">F40*'Datos Custos Factura Eléctrica'!$B$5</f>
        <v>16.100245499181671</v>
      </c>
      <c r="G5" s="1324">
        <f ca="1">G40*'Datos Custos Factura Eléctrica'!$B$5</f>
        <v>14.010038188761593</v>
      </c>
      <c r="H5" s="1324">
        <f ca="1">H40*'Datos Custos Factura Eléctrica'!$B$5</f>
        <v>12.54124386252046</v>
      </c>
      <c r="I5" s="1324">
        <f ca="1">I40*'Datos Custos Factura Eléctrica'!$B$5</f>
        <v>29.093426077468635</v>
      </c>
      <c r="J5" s="1324">
        <f ca="1">J40*'Datos Custos Factura Eléctrica'!$B$5</f>
        <v>15.3658483360611</v>
      </c>
      <c r="K5" s="1324">
        <f ca="1">K40*'Datos Custos Factura Eléctrica'!$B$5</f>
        <v>25.76039279869067</v>
      </c>
      <c r="L5" s="1324">
        <f ca="1">L40*'Datos Custos Factura Eléctrica'!$B$5</f>
        <v>17.456055646481182</v>
      </c>
      <c r="M5" s="1324">
        <f ca="1">M40*'Datos Custos Factura Eléctrica'!$B$5</f>
        <v>26.890234588106935</v>
      </c>
      <c r="N5" s="1324">
        <f ca="1">N40*'Datos Custos Factura Eléctrica'!$B$5</f>
        <v>25.590916530278236</v>
      </c>
      <c r="O5" s="1324">
        <f ca="1">O40*'Datos Custos Factura Eléctrica'!$B$5</f>
        <v>15.591816693944356</v>
      </c>
      <c r="P5" s="1324">
        <f ca="1">P40*'Datos Custos Factura Eléctrica'!$B$5</f>
        <v>17.625531914893621</v>
      </c>
      <c r="Q5" s="1324">
        <f ca="1">Q40*'Datos Custos Factura Eléctrica'!$B$5</f>
        <v>20.450136388434263</v>
      </c>
      <c r="R5" s="1324">
        <f ca="1">R40*'Datos Custos Factura Eléctrica'!$B$5</f>
        <v>29.206410256410255</v>
      </c>
      <c r="S5" s="1324">
        <f ca="1">S40*'Datos Custos Factura Eléctrica'!$B$5</f>
        <v>17.230087288597925</v>
      </c>
      <c r="T5" s="1324">
        <f ca="1">T40*'Datos Custos Factura Eléctrica'!$B$5</f>
        <v>23.726677577741413</v>
      </c>
      <c r="U5" s="1324">
        <f ca="1">U40*'Datos Custos Factura Eléctrica'!$B$5</f>
        <v>22.822804146208401</v>
      </c>
      <c r="V5" s="1324">
        <f ca="1">V40*'Datos Custos Factura Eléctrica'!$B$5</f>
        <v>7.5134478996181135</v>
      </c>
      <c r="W5" s="1324">
        <f ca="1">W40*'Datos Custos Factura Eléctrica'!$B$5</f>
        <v>21.862438625204586</v>
      </c>
      <c r="X5" s="1324">
        <f ca="1">X40*'Datos Custos Factura Eléctrica'!$B$5</f>
        <v>11.354909983633391</v>
      </c>
      <c r="Y5" s="1324">
        <f ca="1">Y40*'Datos Custos Factura Eléctrica'!$B$5</f>
        <v>6.6660665575559195</v>
      </c>
      <c r="Z5" s="1324">
        <f ca="1">Z40*'Datos Custos Factura Eléctrica'!$B$5</f>
        <v>25.251963993453359</v>
      </c>
      <c r="AA5" s="1323">
        <f ca="1">SUM(B5:Z5)</f>
        <v>483.23333333333323</v>
      </c>
    </row>
    <row r="6" spans="1:27" ht="15" thickBot="1" x14ac:dyDescent="0.4">
      <c r="A6" s="394" t="s">
        <v>577</v>
      </c>
      <c r="B6" s="1268">
        <f>'Datos Custos Factura Eléctrica'!$B$6*(365/12)</f>
        <v>1.1696729166666668</v>
      </c>
      <c r="C6" s="1268">
        <f>'Datos Custos Factura Eléctrica'!$B$6*(365/12)</f>
        <v>1.1696729166666668</v>
      </c>
      <c r="D6" s="1268">
        <f>'Datos Custos Factura Eléctrica'!$B$6*(365/12)</f>
        <v>1.1696729166666668</v>
      </c>
      <c r="E6" s="1268">
        <f>'Datos Custos Factura Eléctrica'!$B$6*(365/12)</f>
        <v>1.1696729166666668</v>
      </c>
      <c r="F6" s="1268">
        <f>'Datos Custos Factura Eléctrica'!$B$6*(365/12)</f>
        <v>1.1696729166666668</v>
      </c>
      <c r="G6" s="1268">
        <f>'Datos Custos Factura Eléctrica'!$B$6*(365/12)</f>
        <v>1.1696729166666668</v>
      </c>
      <c r="H6" s="1268">
        <f>'Datos Custos Factura Eléctrica'!$B$6*(365/12)</f>
        <v>1.1696729166666668</v>
      </c>
      <c r="I6" s="1268">
        <f>'Datos Custos Factura Eléctrica'!$B$6*(365/12)</f>
        <v>1.1696729166666668</v>
      </c>
      <c r="J6" s="1268">
        <f>'Datos Custos Factura Eléctrica'!$B$6*(365/12)</f>
        <v>1.1696729166666668</v>
      </c>
      <c r="K6" s="1268">
        <f>'Datos Custos Factura Eléctrica'!$B$6*(365/12)</f>
        <v>1.1696729166666668</v>
      </c>
      <c r="L6" s="1268">
        <f>'Datos Custos Factura Eléctrica'!$B$6*(365/12)</f>
        <v>1.1696729166666668</v>
      </c>
      <c r="M6" s="1268">
        <f>'Datos Custos Factura Eléctrica'!$B$6*(365/12)</f>
        <v>1.1696729166666668</v>
      </c>
      <c r="N6" s="1268">
        <f>'Datos Custos Factura Eléctrica'!$B$6*(365/12)</f>
        <v>1.1696729166666668</v>
      </c>
      <c r="O6" s="1268">
        <f>'Datos Custos Factura Eléctrica'!$B$6*(365/12)</f>
        <v>1.1696729166666668</v>
      </c>
      <c r="P6" s="1268">
        <f>'Datos Custos Factura Eléctrica'!$B$6*(365/12)</f>
        <v>1.1696729166666668</v>
      </c>
      <c r="Q6" s="1268">
        <f>'Datos Custos Factura Eléctrica'!$B$6*(365/12)</f>
        <v>1.1696729166666668</v>
      </c>
      <c r="R6" s="1268">
        <f>'Datos Custos Factura Eléctrica'!$B$6*(365/12)</f>
        <v>1.1696729166666668</v>
      </c>
      <c r="S6" s="1268">
        <f>'Datos Custos Factura Eléctrica'!$B$6*(365/12)</f>
        <v>1.1696729166666668</v>
      </c>
      <c r="T6" s="1268">
        <f>'Datos Custos Factura Eléctrica'!$B$6*(365/12)</f>
        <v>1.1696729166666668</v>
      </c>
      <c r="U6" s="1268">
        <f>'Datos Custos Factura Eléctrica'!$B$6*(365/12)</f>
        <v>1.1696729166666668</v>
      </c>
      <c r="V6" s="1268">
        <f>'Datos Custos Factura Eléctrica'!$B$6*(365/12)</f>
        <v>1.1696729166666668</v>
      </c>
      <c r="W6" s="1268">
        <f>'Datos Custos Factura Eléctrica'!$B$6*(365/12)</f>
        <v>1.1696729166666668</v>
      </c>
      <c r="X6" s="1268">
        <f>'Datos Custos Factura Eléctrica'!$B$6*(365/12)</f>
        <v>1.1696729166666668</v>
      </c>
      <c r="Y6" s="1268">
        <f>'Datos Custos Factura Eléctrica'!$B$6*(365/12)</f>
        <v>1.1696729166666668</v>
      </c>
      <c r="Z6" s="1268">
        <f>'Datos Custos Factura Eléctrica'!$B$6*(365/12)</f>
        <v>1.1696729166666668</v>
      </c>
      <c r="AA6" s="150">
        <f>SUM(B6:Z6)</f>
        <v>29.241822916666663</v>
      </c>
    </row>
    <row r="7" spans="1:27" ht="15" thickBot="1" x14ac:dyDescent="0.4">
      <c r="A7" s="1267" t="s">
        <v>1104</v>
      </c>
      <c r="B7" s="1266">
        <f t="shared" ref="B7:Z7" ca="1" si="0">SUM(B3:B6)</f>
        <v>19.980616042689583</v>
      </c>
      <c r="C7" s="1266">
        <f t="shared" ca="1" si="0"/>
        <v>36.984734973404258</v>
      </c>
      <c r="D7" s="1266">
        <f t="shared" ca="1" si="0"/>
        <v>42.238499294189857</v>
      </c>
      <c r="E7" s="1266">
        <f t="shared" ca="1" si="0"/>
        <v>38.792481836470273</v>
      </c>
      <c r="F7" s="1266">
        <f t="shared" ca="1" si="0"/>
        <v>30.318668415848339</v>
      </c>
      <c r="G7" s="1266">
        <f t="shared" ca="1" si="0"/>
        <v>28.228461105428263</v>
      </c>
      <c r="H7" s="1266">
        <f t="shared" ca="1" si="0"/>
        <v>26.759666779187128</v>
      </c>
      <c r="I7" s="1266">
        <f t="shared" ca="1" si="0"/>
        <v>43.311848994135303</v>
      </c>
      <c r="J7" s="1266">
        <f t="shared" ca="1" si="0"/>
        <v>29.58427125272777</v>
      </c>
      <c r="K7" s="1266">
        <f t="shared" ca="1" si="0"/>
        <v>39.978815715357342</v>
      </c>
      <c r="L7" s="1266">
        <f t="shared" ca="1" si="0"/>
        <v>31.674478563147851</v>
      </c>
      <c r="M7" s="1266">
        <f t="shared" ca="1" si="0"/>
        <v>41.108657504773603</v>
      </c>
      <c r="N7" s="1266">
        <f t="shared" ca="1" si="0"/>
        <v>39.809339446944904</v>
      </c>
      <c r="O7" s="1266">
        <f t="shared" ca="1" si="0"/>
        <v>29.810239610611024</v>
      </c>
      <c r="P7" s="1266">
        <f t="shared" ca="1" si="0"/>
        <v>31.843954831560289</v>
      </c>
      <c r="Q7" s="1266">
        <f t="shared" ca="1" si="0"/>
        <v>34.668559305100935</v>
      </c>
      <c r="R7" s="1266">
        <f t="shared" ca="1" si="0"/>
        <v>43.424833173076927</v>
      </c>
      <c r="S7" s="1266">
        <f t="shared" ca="1" si="0"/>
        <v>31.448510205264594</v>
      </c>
      <c r="T7" s="1266">
        <f t="shared" ca="1" si="0"/>
        <v>37.945100494408081</v>
      </c>
      <c r="U7" s="1266">
        <f t="shared" ca="1" si="0"/>
        <v>37.041227062875073</v>
      </c>
      <c r="V7" s="1266">
        <f t="shared" ca="1" si="0"/>
        <v>21.731870816284783</v>
      </c>
      <c r="W7" s="1266">
        <f t="shared" ca="1" si="0"/>
        <v>36.080861541871258</v>
      </c>
      <c r="X7" s="1266">
        <f t="shared" ca="1" si="0"/>
        <v>25.573332900300059</v>
      </c>
      <c r="Y7" s="1265">
        <f t="shared" ca="1" si="0"/>
        <v>20.884489474222587</v>
      </c>
      <c r="Z7" s="1264">
        <f t="shared" ca="1" si="0"/>
        <v>39.470386910120027</v>
      </c>
      <c r="AA7" s="1264">
        <f ca="1">SUM(B7:Z7)</f>
        <v>838.69390625000017</v>
      </c>
    </row>
    <row r="8" spans="1:27" x14ac:dyDescent="0.35">
      <c r="A8" s="394"/>
      <c r="B8" s="371"/>
      <c r="C8" s="38"/>
    </row>
    <row r="9" spans="1:27" x14ac:dyDescent="0.35">
      <c r="A9" s="394" t="s">
        <v>582</v>
      </c>
      <c r="B9" s="1263">
        <f ca="1">B7*'Simulac. Factura Indiv. Sen CE'!$C$8</f>
        <v>9.9903080213447917E-2</v>
      </c>
      <c r="C9" s="1263">
        <f ca="1">C7*'Simulac. Factura Indiv. Sen CE'!$C$8</f>
        <v>0.1849236748670213</v>
      </c>
      <c r="D9" s="1263">
        <f ca="1">D7*'Simulac. Factura Indiv. Sen CE'!$C$8</f>
        <v>0.21119249647094929</v>
      </c>
      <c r="E9" s="1263">
        <f ca="1">E7*'Simulac. Factura Indiv. Sen CE'!$C$8</f>
        <v>0.19396240918235136</v>
      </c>
      <c r="F9" s="1263">
        <f ca="1">F7*'Simulac. Factura Indiv. Sen CE'!$C$8</f>
        <v>0.15159334207924169</v>
      </c>
      <c r="G9" s="1263">
        <f ca="1">G7*'Simulac. Factura Indiv. Sen CE'!$C$8</f>
        <v>0.14114230552714133</v>
      </c>
      <c r="H9" s="1263">
        <f ca="1">H7*'Simulac. Factura Indiv. Sen CE'!$C$8</f>
        <v>0.13379833389593565</v>
      </c>
      <c r="I9" s="1263">
        <f ca="1">I7*'Simulac. Factura Indiv. Sen CE'!$C$8</f>
        <v>0.21655924497067652</v>
      </c>
      <c r="J9" s="1263">
        <f ca="1">J7*'Simulac. Factura Indiv. Sen CE'!$C$8</f>
        <v>0.14792135626363886</v>
      </c>
      <c r="K9" s="1263">
        <f ca="1">K7*'Simulac. Factura Indiv. Sen CE'!$C$8</f>
        <v>0.1998940785767867</v>
      </c>
      <c r="L9" s="1263">
        <f ca="1">L7*'Simulac. Factura Indiv. Sen CE'!$C$8</f>
        <v>0.15837239281573925</v>
      </c>
      <c r="M9" s="1263">
        <f ca="1">M7*'Simulac. Factura Indiv. Sen CE'!$C$8</f>
        <v>0.20554328752386802</v>
      </c>
      <c r="N9" s="1263">
        <f ca="1">N7*'Simulac. Factura Indiv. Sen CE'!$C$8</f>
        <v>0.19904669723472451</v>
      </c>
      <c r="O9" s="1263">
        <f ca="1">O7*'Simulac. Factura Indiv. Sen CE'!$C$8</f>
        <v>0.14905119805305511</v>
      </c>
      <c r="P9" s="1263">
        <f ca="1">P7*'Simulac. Factura Indiv. Sen CE'!$C$8</f>
        <v>0.15921977415780145</v>
      </c>
      <c r="Q9" s="1263">
        <f ca="1">Q7*'Simulac. Factura Indiv. Sen CE'!$C$8</f>
        <v>0.17334279652550469</v>
      </c>
      <c r="R9" s="1263">
        <f ca="1">R7*'Simulac. Factura Indiv. Sen CE'!$C$8</f>
        <v>0.21712416586538463</v>
      </c>
      <c r="S9" s="1263">
        <f ca="1">S7*'Simulac. Factura Indiv. Sen CE'!$C$8</f>
        <v>0.15724255102632298</v>
      </c>
      <c r="T9" s="1263">
        <f ca="1">T7*'Simulac. Factura Indiv. Sen CE'!$C$8</f>
        <v>0.1897255024720404</v>
      </c>
      <c r="U9" s="1263">
        <f ca="1">U7*'Simulac. Factura Indiv. Sen CE'!$C$8</f>
        <v>0.18520613531437538</v>
      </c>
      <c r="V9" s="1263">
        <f ca="1">V7*'Simulac. Factura Indiv. Sen CE'!$C$8</f>
        <v>0.10865935408142391</v>
      </c>
      <c r="W9" s="1263">
        <f ca="1">W7*'Simulac. Factura Indiv. Sen CE'!$C$8</f>
        <v>0.18040430770935628</v>
      </c>
      <c r="X9" s="1263">
        <f ca="1">X7*'Simulac. Factura Indiv. Sen CE'!$C$8</f>
        <v>0.1278666645015003</v>
      </c>
      <c r="Y9" s="1263">
        <f ca="1">Y7*'Simulac. Factura Indiv. Sen CE'!$C$8</f>
        <v>0.10442244737111293</v>
      </c>
      <c r="Z9" s="1263">
        <f ca="1">Z7*'Simulac. Factura Indiv. Sen CE'!$C$8</f>
        <v>0.19735193455060013</v>
      </c>
      <c r="AA9" s="150">
        <f ca="1">SUM(B9:Z9)</f>
        <v>4.1934695312500008</v>
      </c>
    </row>
    <row r="10" spans="1:27" x14ac:dyDescent="0.35">
      <c r="A10" s="394"/>
      <c r="B10" s="371"/>
      <c r="C10" s="38"/>
    </row>
    <row r="11" spans="1:27" x14ac:dyDescent="0.35">
      <c r="A11" s="394" t="s">
        <v>585</v>
      </c>
      <c r="B11" s="1268">
        <f>'Datos Custos Factura Eléctrica'!$B$11*(365/12)</f>
        <v>0.81474083333333336</v>
      </c>
      <c r="C11" s="1268">
        <f>'Datos Custos Factura Eléctrica'!$B$11*(365/12)</f>
        <v>0.81474083333333336</v>
      </c>
      <c r="D11" s="1268">
        <f>'Datos Custos Factura Eléctrica'!$B$11*(365/12)</f>
        <v>0.81474083333333336</v>
      </c>
      <c r="E11" s="1268">
        <f>'Datos Custos Factura Eléctrica'!$B$11*(365/12)</f>
        <v>0.81474083333333336</v>
      </c>
      <c r="F11" s="1268">
        <f>'Datos Custos Factura Eléctrica'!$B$11*(365/12)</f>
        <v>0.81474083333333336</v>
      </c>
      <c r="G11" s="1268">
        <f>'Datos Custos Factura Eléctrica'!$B$11*(365/12)</f>
        <v>0.81474083333333336</v>
      </c>
      <c r="H11" s="1268">
        <f>'Datos Custos Factura Eléctrica'!$B$11*(365/12)</f>
        <v>0.81474083333333336</v>
      </c>
      <c r="I11" s="1268">
        <f>'Datos Custos Factura Eléctrica'!$B$11*(365/12)</f>
        <v>0.81474083333333336</v>
      </c>
      <c r="J11" s="1268">
        <f>'Datos Custos Factura Eléctrica'!$B$11*(365/12)</f>
        <v>0.81474083333333336</v>
      </c>
      <c r="K11" s="1268">
        <f>'Datos Custos Factura Eléctrica'!$B$11*(365/12)</f>
        <v>0.81474083333333336</v>
      </c>
      <c r="L11" s="1268">
        <f>'Datos Custos Factura Eléctrica'!$B$11*(365/12)</f>
        <v>0.81474083333333336</v>
      </c>
      <c r="M11" s="1268">
        <f>'Datos Custos Factura Eléctrica'!$B$11*(365/12)</f>
        <v>0.81474083333333336</v>
      </c>
      <c r="N11" s="1268">
        <f>'Datos Custos Factura Eléctrica'!$B$11*(365/12)</f>
        <v>0.81474083333333336</v>
      </c>
      <c r="O11" s="1268">
        <f>'Datos Custos Factura Eléctrica'!$B$11*(365/12)</f>
        <v>0.81474083333333336</v>
      </c>
      <c r="P11" s="1268">
        <f>'Datos Custos Factura Eléctrica'!$B$11*(365/12)</f>
        <v>0.81474083333333336</v>
      </c>
      <c r="Q11" s="1268">
        <f>'Datos Custos Factura Eléctrica'!$B$11*(365/12)</f>
        <v>0.81474083333333336</v>
      </c>
      <c r="R11" s="1268">
        <f>'Datos Custos Factura Eléctrica'!$B$11*(365/12)</f>
        <v>0.81474083333333336</v>
      </c>
      <c r="S11" s="1268">
        <f>'Datos Custos Factura Eléctrica'!$B$11*(365/12)</f>
        <v>0.81474083333333336</v>
      </c>
      <c r="T11" s="1268">
        <f>'Datos Custos Factura Eléctrica'!$B$11*(365/12)</f>
        <v>0.81474083333333336</v>
      </c>
      <c r="U11" s="1268">
        <f>'Datos Custos Factura Eléctrica'!$B$11*(365/12)</f>
        <v>0.81474083333333336</v>
      </c>
      <c r="V11" s="1268">
        <f>'Datos Custos Factura Eléctrica'!$B$11*(365/12)</f>
        <v>0.81474083333333336</v>
      </c>
      <c r="W11" s="1268">
        <f>'Datos Custos Factura Eléctrica'!$B$11*(365/12)</f>
        <v>0.81474083333333336</v>
      </c>
      <c r="X11" s="1268">
        <f>'Datos Custos Factura Eléctrica'!$B$11*(365/12)</f>
        <v>0.81474083333333336</v>
      </c>
      <c r="Y11" s="1268">
        <f>'Datos Custos Factura Eléctrica'!$B$11*(365/12)</f>
        <v>0.81474083333333336</v>
      </c>
      <c r="Z11" s="1268">
        <f>'Datos Custos Factura Eléctrica'!$B$11*(365/12)</f>
        <v>0.81474083333333336</v>
      </c>
      <c r="AA11" s="150">
        <f>SUM(B11:Z11)</f>
        <v>20.368520833333324</v>
      </c>
    </row>
    <row r="12" spans="1:27" ht="15" thickBot="1" x14ac:dyDescent="0.4">
      <c r="A12" s="394"/>
      <c r="B12" s="371"/>
      <c r="C12" s="38"/>
    </row>
    <row r="13" spans="1:27" ht="15" thickBot="1" x14ac:dyDescent="0.4">
      <c r="A13" s="1267" t="s">
        <v>1103</v>
      </c>
      <c r="B13" s="1266">
        <f t="shared" ref="B13:Z13" ca="1" si="1">B7+B9+B11</f>
        <v>20.895259956236362</v>
      </c>
      <c r="C13" s="1266">
        <f t="shared" ca="1" si="1"/>
        <v>37.984399481604612</v>
      </c>
      <c r="D13" s="1266">
        <f t="shared" ca="1" si="1"/>
        <v>43.264432623994139</v>
      </c>
      <c r="E13" s="1266">
        <f t="shared" ca="1" si="1"/>
        <v>39.801185078985959</v>
      </c>
      <c r="F13" s="1266">
        <f t="shared" ca="1" si="1"/>
        <v>31.285002591260913</v>
      </c>
      <c r="G13" s="1266">
        <f t="shared" ca="1" si="1"/>
        <v>29.184344244288734</v>
      </c>
      <c r="H13" s="1266">
        <f t="shared" ca="1" si="1"/>
        <v>27.708205946416395</v>
      </c>
      <c r="I13" s="1266">
        <f t="shared" ca="1" si="1"/>
        <v>44.34314907243931</v>
      </c>
      <c r="J13" s="1266">
        <f t="shared" ca="1" si="1"/>
        <v>30.54693344232474</v>
      </c>
      <c r="K13" s="1266">
        <f t="shared" ca="1" si="1"/>
        <v>40.993450627267464</v>
      </c>
      <c r="L13" s="1266">
        <f t="shared" ca="1" si="1"/>
        <v>32.647591789296925</v>
      </c>
      <c r="M13" s="1266">
        <f t="shared" ca="1" si="1"/>
        <v>42.128941625630802</v>
      </c>
      <c r="N13" s="1266">
        <f t="shared" ca="1" si="1"/>
        <v>40.823126977512963</v>
      </c>
      <c r="O13" s="1266">
        <f t="shared" ca="1" si="1"/>
        <v>30.774031641997411</v>
      </c>
      <c r="P13" s="1266">
        <f t="shared" ca="1" si="1"/>
        <v>32.817915439051426</v>
      </c>
      <c r="Q13" s="1266">
        <f t="shared" ca="1" si="1"/>
        <v>35.65664293495977</v>
      </c>
      <c r="R13" s="1266">
        <f t="shared" ca="1" si="1"/>
        <v>44.456698172275644</v>
      </c>
      <c r="S13" s="1266">
        <f t="shared" ca="1" si="1"/>
        <v>32.42049358962425</v>
      </c>
      <c r="T13" s="1266">
        <f t="shared" ca="1" si="1"/>
        <v>38.949566830213456</v>
      </c>
      <c r="U13" s="1266">
        <f t="shared" ca="1" si="1"/>
        <v>38.041174031522779</v>
      </c>
      <c r="V13" s="1266">
        <f t="shared" ca="1" si="1"/>
        <v>22.655271003699539</v>
      </c>
      <c r="W13" s="1266">
        <f t="shared" ca="1" si="1"/>
        <v>37.076006682913949</v>
      </c>
      <c r="X13" s="1266">
        <f t="shared" ca="1" si="1"/>
        <v>26.515940398134891</v>
      </c>
      <c r="Y13" s="1265">
        <f t="shared" ca="1" si="1"/>
        <v>21.803652754927032</v>
      </c>
      <c r="Z13" s="1264">
        <f t="shared" ca="1" si="1"/>
        <v>40.482479678003962</v>
      </c>
      <c r="AA13" s="1264">
        <f ca="1">SUM(B13:Z13)</f>
        <v>863.25589661458366</v>
      </c>
    </row>
    <row r="14" spans="1:27" x14ac:dyDescent="0.35">
      <c r="A14" s="394"/>
      <c r="B14" s="371"/>
      <c r="C14" s="38"/>
    </row>
    <row r="15" spans="1:27" x14ac:dyDescent="0.35">
      <c r="A15" s="394" t="s">
        <v>1102</v>
      </c>
      <c r="B15" s="1263">
        <f ca="1">'Simulac. Factura Indiv. Sen CE'!$C$14*B13</f>
        <v>4.3880045908096363</v>
      </c>
      <c r="C15" s="1263">
        <f ca="1">'Simulac. Factura Indiv. Sen CE'!$C$14*C13</f>
        <v>7.9767238911369684</v>
      </c>
      <c r="D15" s="1263">
        <f ca="1">'Simulac. Factura Indiv. Sen CE'!$C$14*D13</f>
        <v>9.0855308510387687</v>
      </c>
      <c r="E15" s="1263">
        <f ca="1">'Simulac. Factura Indiv. Sen CE'!$C$14*E13</f>
        <v>8.3582488665870507</v>
      </c>
      <c r="F15" s="1263">
        <f ca="1">'Simulac. Factura Indiv. Sen CE'!$C$14*F13</f>
        <v>6.5698505441647912</v>
      </c>
      <c r="G15" s="1263">
        <f ca="1">'Simulac. Factura Indiv. Sen CE'!$C$14*G13</f>
        <v>6.1287122913006344</v>
      </c>
      <c r="H15" s="1263">
        <f ca="1">'Simulac. Factura Indiv. Sen CE'!$C$14*H13</f>
        <v>5.8187232487474425</v>
      </c>
      <c r="I15" s="1263">
        <f ca="1">'Simulac. Factura Indiv. Sen CE'!$C$14*I13</f>
        <v>9.3120613052122554</v>
      </c>
      <c r="J15" s="1263">
        <f ca="1">'Simulac. Factura Indiv. Sen CE'!$C$14*J13</f>
        <v>6.4148560228881948</v>
      </c>
      <c r="K15" s="1263">
        <f ca="1">'Simulac. Factura Indiv. Sen CE'!$C$14*K13</f>
        <v>8.6086246317261672</v>
      </c>
      <c r="L15" s="1263">
        <f ca="1">'Simulac. Factura Indiv. Sen CE'!$C$14*L13</f>
        <v>6.8559942757523542</v>
      </c>
      <c r="M15" s="1263">
        <f ca="1">'Simulac. Factura Indiv. Sen CE'!$C$14*M13</f>
        <v>8.8470777413824688</v>
      </c>
      <c r="N15" s="1263">
        <f ca="1">'Simulac. Factura Indiv. Sen CE'!$C$14*N13</f>
        <v>8.5728566652777225</v>
      </c>
      <c r="O15" s="1263">
        <f ca="1">'Simulac. Factura Indiv. Sen CE'!$C$14*O13</f>
        <v>6.4625466448194562</v>
      </c>
      <c r="P15" s="1263">
        <f ca="1">'Simulac. Factura Indiv. Sen CE'!$C$14*P13</f>
        <v>6.8917622422007989</v>
      </c>
      <c r="Q15" s="1263">
        <f ca="1">'Simulac. Factura Indiv. Sen CE'!$C$14*Q13</f>
        <v>7.4878950163415512</v>
      </c>
      <c r="R15" s="1263">
        <f ca="1">'Simulac. Factura Indiv. Sen CE'!$C$14*R13</f>
        <v>9.3359066161778852</v>
      </c>
      <c r="S15" s="1263">
        <f ca="1">'Simulac. Factura Indiv. Sen CE'!$C$14*S13</f>
        <v>6.8083036538210919</v>
      </c>
      <c r="T15" s="1263">
        <f ca="1">'Simulac. Factura Indiv. Sen CE'!$C$14*T13</f>
        <v>8.1794090343448254</v>
      </c>
      <c r="U15" s="1263">
        <f ca="1">'Simulac. Factura Indiv. Sen CE'!$C$14*U13</f>
        <v>7.9886465466197834</v>
      </c>
      <c r="V15" s="1263">
        <f ca="1">'Simulac. Factura Indiv. Sen CE'!$C$14*V13</f>
        <v>4.7576069107769028</v>
      </c>
      <c r="W15" s="1263">
        <f ca="1">'Simulac. Factura Indiv. Sen CE'!$C$14*W13</f>
        <v>7.7859614034119291</v>
      </c>
      <c r="X15" s="1263">
        <f ca="1">'Simulac. Factura Indiv. Sen CE'!$C$14*X13</f>
        <v>5.5683474836083269</v>
      </c>
      <c r="Y15" s="1263">
        <f ca="1">'Simulac. Factura Indiv. Sen CE'!$C$14*Y13</f>
        <v>4.5787670785346766</v>
      </c>
      <c r="Z15" s="1263">
        <f ca="1">'Simulac. Factura Indiv. Sen CE'!$C$14*Z13</f>
        <v>8.5013207323808313</v>
      </c>
      <c r="AA15" s="150">
        <f ca="1">SUM(B15:Z15)</f>
        <v>181.28373828906248</v>
      </c>
    </row>
    <row r="16" spans="1:27" ht="15" thickBot="1" x14ac:dyDescent="0.4">
      <c r="A16" s="394"/>
      <c r="B16" s="371"/>
      <c r="C16" s="38"/>
    </row>
    <row r="17" spans="1:27" ht="15" thickBot="1" x14ac:dyDescent="0.4">
      <c r="A17" s="1262" t="s">
        <v>1101</v>
      </c>
      <c r="B17" s="1261">
        <f t="shared" ref="B17:Z17" ca="1" si="2">B13+B15</f>
        <v>25.283264547045999</v>
      </c>
      <c r="C17" s="1261">
        <f t="shared" ca="1" si="2"/>
        <v>45.961123372741582</v>
      </c>
      <c r="D17" s="1261">
        <f t="shared" ca="1" si="2"/>
        <v>52.349963475032908</v>
      </c>
      <c r="E17" s="1261">
        <f t="shared" ca="1" si="2"/>
        <v>48.159433945573014</v>
      </c>
      <c r="F17" s="1261">
        <f t="shared" ca="1" si="2"/>
        <v>37.854853135425707</v>
      </c>
      <c r="G17" s="1261">
        <f t="shared" ca="1" si="2"/>
        <v>35.313056535589368</v>
      </c>
      <c r="H17" s="1261">
        <f t="shared" ca="1" si="2"/>
        <v>33.526929195163838</v>
      </c>
      <c r="I17" s="1261">
        <f t="shared" ca="1" si="2"/>
        <v>53.655210377651564</v>
      </c>
      <c r="J17" s="1261">
        <f t="shared" ca="1" si="2"/>
        <v>36.961789465212931</v>
      </c>
      <c r="K17" s="1261">
        <f t="shared" ca="1" si="2"/>
        <v>49.602075258993629</v>
      </c>
      <c r="L17" s="1261">
        <f t="shared" ca="1" si="2"/>
        <v>39.503586065049276</v>
      </c>
      <c r="M17" s="1261">
        <f t="shared" ca="1" si="2"/>
        <v>50.976019367013272</v>
      </c>
      <c r="N17" s="1261">
        <f t="shared" ca="1" si="2"/>
        <v>49.395983642790682</v>
      </c>
      <c r="O17" s="1261">
        <f t="shared" ca="1" si="2"/>
        <v>37.236578286816865</v>
      </c>
      <c r="P17" s="1261">
        <f t="shared" ca="1" si="2"/>
        <v>39.709677681252224</v>
      </c>
      <c r="Q17" s="1261">
        <f t="shared" ca="1" si="2"/>
        <v>43.144537951301324</v>
      </c>
      <c r="R17" s="1261">
        <f t="shared" ca="1" si="2"/>
        <v>53.792604788453531</v>
      </c>
      <c r="S17" s="1261">
        <f t="shared" ca="1" si="2"/>
        <v>39.228797243445342</v>
      </c>
      <c r="T17" s="1261">
        <f t="shared" ca="1" si="2"/>
        <v>47.128975864558285</v>
      </c>
      <c r="U17" s="1261">
        <f t="shared" ca="1" si="2"/>
        <v>46.029820578142562</v>
      </c>
      <c r="V17" s="1261">
        <f t="shared" ca="1" si="2"/>
        <v>27.412877914476443</v>
      </c>
      <c r="W17" s="1261">
        <f t="shared" ca="1" si="2"/>
        <v>44.861968086325881</v>
      </c>
      <c r="X17" s="1261">
        <f t="shared" ca="1" si="2"/>
        <v>32.084287881743215</v>
      </c>
      <c r="Y17" s="1261">
        <f t="shared" ca="1" si="2"/>
        <v>26.382419833461711</v>
      </c>
      <c r="Z17" s="1260">
        <f t="shared" ca="1" si="2"/>
        <v>48.983800410384795</v>
      </c>
      <c r="AA17" s="1259">
        <f ca="1">SUM(B17:Z17)</f>
        <v>1044.5396349036459</v>
      </c>
    </row>
    <row r="18" spans="1:27" x14ac:dyDescent="0.35">
      <c r="B18" s="371"/>
      <c r="C18" s="38"/>
    </row>
    <row r="19" spans="1:27" ht="15" thickBot="1" x14ac:dyDescent="0.4">
      <c r="B19" s="371"/>
      <c r="C19" s="38"/>
    </row>
    <row r="20" spans="1:27" ht="15" thickBot="1" x14ac:dyDescent="0.4">
      <c r="A20" s="1318" t="s">
        <v>1115</v>
      </c>
      <c r="B20" s="1400"/>
      <c r="C20" s="1399"/>
      <c r="D20" s="615"/>
      <c r="E20" s="615"/>
      <c r="F20" s="615"/>
      <c r="G20" s="615"/>
      <c r="H20" s="615"/>
      <c r="I20" s="615"/>
      <c r="J20" s="615"/>
      <c r="K20" s="615"/>
      <c r="L20" s="615"/>
      <c r="M20" s="615"/>
      <c r="N20" s="615"/>
      <c r="O20" s="615"/>
      <c r="P20" s="615"/>
      <c r="Q20" s="615"/>
      <c r="R20" s="615"/>
      <c r="S20" s="615"/>
      <c r="T20" s="615"/>
      <c r="U20" s="615"/>
      <c r="V20" s="615"/>
      <c r="W20" s="615"/>
      <c r="X20" s="615"/>
      <c r="Y20" s="615"/>
      <c r="Z20" s="615"/>
      <c r="AA20" s="1286"/>
    </row>
    <row r="21" spans="1:27" ht="29" x14ac:dyDescent="0.35">
      <c r="A21" s="1316" t="s">
        <v>1112</v>
      </c>
      <c r="B21" s="1268">
        <f ca="1">B38*'Hipóteses xerais (2)'!$C$24*'Hipóteses xerais (2)'!$C$22/1000</f>
        <v>2.2189034369885436</v>
      </c>
      <c r="C21" s="1268">
        <f ca="1">C38*'Hipóteses xerais (2)'!$C$24*'Hipóteses xerais (2)'!$C$22/1000</f>
        <v>8.7668439716312054</v>
      </c>
      <c r="D21" s="1268">
        <f ca="1">D38*'Hipóteses xerais (2)'!$C$24*'Hipóteses xerais (2)'!$C$22/1000</f>
        <v>10.789961811238406</v>
      </c>
      <c r="E21" s="1268">
        <f ca="1">E38*'Hipóteses xerais (2)'!$C$24*'Hipóteses xerais (2)'!$C$22/1000</f>
        <v>9.4629705400981976</v>
      </c>
      <c r="F21" s="1268">
        <f ca="1">F38*'Hipóteses xerais (2)'!$C$24*'Hipóteses xerais (2)'!$C$22/1000</f>
        <v>6.1998772504091662</v>
      </c>
      <c r="G21" s="1268">
        <f ca="1">G38*'Hipóteses xerais (2)'!$C$24*'Hipóteses xerais (2)'!$C$22/1000</f>
        <v>5.3949809056192031</v>
      </c>
      <c r="H21" s="1268">
        <f ca="1">H38*'Hipóteses xerais (2)'!$C$24*'Hipóteses xerais (2)'!$C$22/1000</f>
        <v>4.8293780687397705</v>
      </c>
      <c r="I21" s="1268">
        <f ca="1">I38*'Hipóteses xerais (2)'!$C$24*'Hipóteses xerais (2)'!$C$22/1000</f>
        <v>11.203286961265682</v>
      </c>
      <c r="J21" s="1268">
        <f ca="1">J38*'Hipóteses xerais (2)'!$C$24*'Hipóteses xerais (2)'!$C$22/1000</f>
        <v>5.9170758319694494</v>
      </c>
      <c r="K21" s="1268">
        <f ca="1">K38*'Hipóteses xerais (2)'!$C$24*'Hipóteses xerais (2)'!$C$22/1000</f>
        <v>9.9198036006546637</v>
      </c>
      <c r="L21" s="1268">
        <f ca="1">L38*'Hipóteses xerais (2)'!$C$24*'Hipóteses xerais (2)'!$C$22/1000</f>
        <v>6.7219721767594089</v>
      </c>
      <c r="M21" s="1268">
        <f ca="1">M38*'Hipóteses xerais (2)'!$C$24*'Hipóteses xerais (2)'!$C$22/1000</f>
        <v>10.354882705946535</v>
      </c>
      <c r="N21" s="1268">
        <f ca="1">N38*'Hipóteses xerais (2)'!$C$24*'Hipóteses xerais (2)'!$C$22/1000</f>
        <v>9.8545417348608844</v>
      </c>
      <c r="O21" s="1268">
        <f ca="1">O38*'Hipóteses xerais (2)'!$C$24*'Hipóteses xerais (2)'!$C$22/1000</f>
        <v>6.0040916530278228</v>
      </c>
      <c r="P21" s="1268">
        <f ca="1">P38*'Hipóteses xerais (2)'!$C$24*'Hipóteses xerais (2)'!$C$22/1000</f>
        <v>6.7872340425531901</v>
      </c>
      <c r="Q21" s="1268">
        <f ca="1">Q38*'Hipóteses xerais (2)'!$C$24*'Hipóteses xerais (2)'!$C$22/1000</f>
        <v>7.874931805782869</v>
      </c>
      <c r="R21" s="1268">
        <f ca="1">R38*'Hipóteses xerais (2)'!$C$24*'Hipóteses xerais (2)'!$C$22/1000</f>
        <v>11.24679487179487</v>
      </c>
      <c r="S21" s="1268">
        <f ca="1">S38*'Hipóteses xerais (2)'!$C$24*'Hipóteses xerais (2)'!$C$22/1000</f>
        <v>6.6349563557010374</v>
      </c>
      <c r="T21" s="1268">
        <f ca="1">T38*'Hipóteses xerais (2)'!$C$24*'Hipóteses xerais (2)'!$C$22/1000</f>
        <v>9.1366612111292937</v>
      </c>
      <c r="U21" s="1268">
        <f ca="1">U38*'Hipóteses xerais (2)'!$C$24*'Hipóteses xerais (2)'!$C$22/1000</f>
        <v>8.7885979268958003</v>
      </c>
      <c r="V21" s="1268">
        <f ca="1">V38*'Hipóteses xerais (2)'!$C$24*'Hipóteses xerais (2)'!$C$22/1000</f>
        <v>2.8932760501909431</v>
      </c>
      <c r="W21" s="1268">
        <f ca="1">W38*'Hipóteses xerais (2)'!$C$24*'Hipóteses xerais (2)'!$C$22/1000</f>
        <v>8.4187806873977085</v>
      </c>
      <c r="X21" s="1268">
        <f ca="1">X38*'Hipóteses xerais (2)'!$C$24*'Hipóteses xerais (2)'!$C$22/1000</f>
        <v>4.3725450081833053</v>
      </c>
      <c r="Y21" s="1268">
        <f ca="1">Y38*'Hipóteses xerais (2)'!$C$24*'Hipóteses xerais (2)'!$C$22/1000</f>
        <v>2.5669667212220402</v>
      </c>
      <c r="Z21" s="1268">
        <f ca="1">Z38*'Hipóteses xerais (2)'!$C$24*'Hipóteses xerais (2)'!$C$22/1000</f>
        <v>9.7240180032733221</v>
      </c>
      <c r="AA21" s="995">
        <f ca="1">SUM(B21:Z21)</f>
        <v>186.08333333333331</v>
      </c>
    </row>
    <row r="22" spans="1:27" ht="15" thickBot="1" x14ac:dyDescent="0.4">
      <c r="A22" s="1316" t="s">
        <v>1111</v>
      </c>
      <c r="B22" s="1263">
        <f ca="1">B34*'Hipóteses xerais (2)'!$C$25*('Hipóteses xerais (2)'!$C$22/1000)</f>
        <v>0</v>
      </c>
      <c r="C22" s="1263">
        <f ca="1">C34*'Hipóteses xerais (2)'!$C$25*('Hipóteses xerais (2)'!$C$22/1000)</f>
        <v>0</v>
      </c>
      <c r="D22" s="1263">
        <f ca="1">D34*'Hipóteses xerais (2)'!$C$25*('Hipóteses xerais (2)'!$C$22/1000)</f>
        <v>0</v>
      </c>
      <c r="E22" s="1263">
        <f ca="1">E34*'Hipóteses xerais (2)'!$C$25*('Hipóteses xerais (2)'!$C$22/1000)</f>
        <v>0</v>
      </c>
      <c r="F22" s="1263">
        <f ca="1">F34*'Hipóteses xerais (2)'!$C$25*('Hipóteses xerais (2)'!$C$22/1000)</f>
        <v>0</v>
      </c>
      <c r="G22" s="1263">
        <f ca="1">G34*'Hipóteses xerais (2)'!$C$25*('Hipóteses xerais (2)'!$C$22/1000)</f>
        <v>0</v>
      </c>
      <c r="H22" s="1263">
        <f ca="1">H34*'Hipóteses xerais (2)'!$C$25*('Hipóteses xerais (2)'!$C$22/1000)</f>
        <v>0</v>
      </c>
      <c r="I22" s="1263">
        <f ca="1">I34*'Hipóteses xerais (2)'!$C$25*('Hipóteses xerais (2)'!$C$22/1000)</f>
        <v>0</v>
      </c>
      <c r="J22" s="1263">
        <f ca="1">J34*'Hipóteses xerais (2)'!$C$25*('Hipóteses xerais (2)'!$C$22/1000)</f>
        <v>0</v>
      </c>
      <c r="K22" s="1263">
        <f ca="1">K34*'Hipóteses xerais (2)'!$C$25*('Hipóteses xerais (2)'!$C$22/1000)</f>
        <v>0</v>
      </c>
      <c r="L22" s="1263">
        <f ca="1">L34*'Hipóteses xerais (2)'!$C$25*('Hipóteses xerais (2)'!$C$22/1000)</f>
        <v>0</v>
      </c>
      <c r="M22" s="1263">
        <f ca="1">M34*'Hipóteses xerais (2)'!$C$25*('Hipóteses xerais (2)'!$C$22/1000)</f>
        <v>0</v>
      </c>
      <c r="N22" s="1263">
        <f ca="1">N34*'Hipóteses xerais (2)'!$C$25*('Hipóteses xerais (2)'!$C$22/1000)</f>
        <v>0</v>
      </c>
      <c r="O22" s="1263">
        <f ca="1">O34*'Hipóteses xerais (2)'!$C$25*('Hipóteses xerais (2)'!$C$22/1000)</f>
        <v>0</v>
      </c>
      <c r="P22" s="1263">
        <f ca="1">P34*'Hipóteses xerais (2)'!$C$25*('Hipóteses xerais (2)'!$C$22/1000)</f>
        <v>0</v>
      </c>
      <c r="Q22" s="1263">
        <f ca="1">Q34*'Hipóteses xerais (2)'!$C$25*('Hipóteses xerais (2)'!$C$22/1000)</f>
        <v>0</v>
      </c>
      <c r="R22" s="1263">
        <f ca="1">R34*'Hipóteses xerais (2)'!$C$25*('Hipóteses xerais (2)'!$C$22/1000)</f>
        <v>0</v>
      </c>
      <c r="S22" s="1263">
        <f ca="1">S34*'Hipóteses xerais (2)'!$C$25*('Hipóteses xerais (2)'!$C$22/1000)</f>
        <v>0</v>
      </c>
      <c r="T22" s="1263">
        <f ca="1">T34*'Hipóteses xerais (2)'!$C$25*('Hipóteses xerais (2)'!$C$22/1000)</f>
        <v>0</v>
      </c>
      <c r="U22" s="1263">
        <f ca="1">U34*'Hipóteses xerais (2)'!$C$25*('Hipóteses xerais (2)'!$C$22/1000)</f>
        <v>0</v>
      </c>
      <c r="V22" s="1263">
        <f ca="1">V34*'Hipóteses xerais (2)'!$C$25*('Hipóteses xerais (2)'!$C$22/1000)</f>
        <v>0</v>
      </c>
      <c r="W22" s="1263">
        <f ca="1">W34*'Hipóteses xerais (2)'!$C$25*('Hipóteses xerais (2)'!$C$22/1000)</f>
        <v>0</v>
      </c>
      <c r="X22" s="1263">
        <f ca="1">X34*'Hipóteses xerais (2)'!$C$25*('Hipóteses xerais (2)'!$C$22/1000)</f>
        <v>0</v>
      </c>
      <c r="Y22" s="1263">
        <f ca="1">Y34*'Hipóteses xerais (2)'!$C$25*('Hipóteses xerais (2)'!$C$22/1000)</f>
        <v>0</v>
      </c>
      <c r="Z22" s="1263">
        <f ca="1">Z34*'Hipóteses xerais (2)'!$C$25*('Hipóteses xerais (2)'!$C$22/1000)</f>
        <v>0</v>
      </c>
      <c r="AA22" s="150">
        <f ca="1">SUM(B22:Z22)</f>
        <v>0</v>
      </c>
    </row>
    <row r="23" spans="1:27" ht="15" thickBot="1" x14ac:dyDescent="0.4">
      <c r="A23" s="1262" t="s">
        <v>1110</v>
      </c>
      <c r="B23" s="1398">
        <f t="shared" ref="B23:Z23" ca="1" si="3">SUM(B21:B22)</f>
        <v>2.2189034369885436</v>
      </c>
      <c r="C23" s="1397">
        <f t="shared" ca="1" si="3"/>
        <v>8.7668439716312054</v>
      </c>
      <c r="D23" s="1397">
        <f t="shared" ca="1" si="3"/>
        <v>10.789961811238406</v>
      </c>
      <c r="E23" s="1397">
        <f t="shared" ca="1" si="3"/>
        <v>9.4629705400981976</v>
      </c>
      <c r="F23" s="1397">
        <f t="shared" ca="1" si="3"/>
        <v>6.1998772504091662</v>
      </c>
      <c r="G23" s="1397">
        <f t="shared" ca="1" si="3"/>
        <v>5.3949809056192031</v>
      </c>
      <c r="H23" s="1397">
        <f t="shared" ca="1" si="3"/>
        <v>4.8293780687397705</v>
      </c>
      <c r="I23" s="1397">
        <f t="shared" ca="1" si="3"/>
        <v>11.203286961265682</v>
      </c>
      <c r="J23" s="1397">
        <f t="shared" ca="1" si="3"/>
        <v>5.9170758319694494</v>
      </c>
      <c r="K23" s="1397">
        <f t="shared" ca="1" si="3"/>
        <v>9.9198036006546637</v>
      </c>
      <c r="L23" s="1397">
        <f t="shared" ca="1" si="3"/>
        <v>6.7219721767594089</v>
      </c>
      <c r="M23" s="1397">
        <f t="shared" ca="1" si="3"/>
        <v>10.354882705946535</v>
      </c>
      <c r="N23" s="1397">
        <f t="shared" ca="1" si="3"/>
        <v>9.8545417348608844</v>
      </c>
      <c r="O23" s="1397">
        <f t="shared" ca="1" si="3"/>
        <v>6.0040916530278228</v>
      </c>
      <c r="P23" s="1397">
        <f t="shared" ca="1" si="3"/>
        <v>6.7872340425531901</v>
      </c>
      <c r="Q23" s="1397">
        <f t="shared" ca="1" si="3"/>
        <v>7.874931805782869</v>
      </c>
      <c r="R23" s="1397">
        <f t="shared" ca="1" si="3"/>
        <v>11.24679487179487</v>
      </c>
      <c r="S23" s="1397">
        <f t="shared" ca="1" si="3"/>
        <v>6.6349563557010374</v>
      </c>
      <c r="T23" s="1397">
        <f t="shared" ca="1" si="3"/>
        <v>9.1366612111292937</v>
      </c>
      <c r="U23" s="1397">
        <f t="shared" ca="1" si="3"/>
        <v>8.7885979268958003</v>
      </c>
      <c r="V23" s="1397">
        <f t="shared" ca="1" si="3"/>
        <v>2.8932760501909431</v>
      </c>
      <c r="W23" s="1397">
        <f t="shared" ca="1" si="3"/>
        <v>8.4187806873977085</v>
      </c>
      <c r="X23" s="1397">
        <f t="shared" ca="1" si="3"/>
        <v>4.3725450081833053</v>
      </c>
      <c r="Y23" s="1397">
        <f t="shared" ca="1" si="3"/>
        <v>2.5669667212220402</v>
      </c>
      <c r="Z23" s="1396">
        <f t="shared" ca="1" si="3"/>
        <v>9.7240180032733221</v>
      </c>
      <c r="AA23" s="1259">
        <f ca="1">SUM(B23:Z23)</f>
        <v>186.08333333333331</v>
      </c>
    </row>
    <row r="24" spans="1:27" x14ac:dyDescent="0.35">
      <c r="B24" s="371"/>
      <c r="C24" s="38"/>
    </row>
    <row r="25" spans="1:27" x14ac:dyDescent="0.35">
      <c r="B25" s="371"/>
      <c r="C25" s="38"/>
    </row>
    <row r="26" spans="1:27" x14ac:dyDescent="0.35">
      <c r="A26" s="1104" t="s">
        <v>1131</v>
      </c>
      <c r="B26" s="1289">
        <f ca="1">'Datos CE e Socios'!$B$9*1000*(1/12)*(INDEX('Datos Socios (2)'!$C$2:$C$27,'Factura Socios Con CE (2)'!B2))</f>
        <v>44.378068739770868</v>
      </c>
      <c r="C26" s="1395">
        <f ca="1">'Datos CE e Socios'!$B$9*1000*(1/12)*(INDEX('Datos Socios (2)'!$C$2:$C$27,'Factura Socios Con CE (2)'!C2))</f>
        <v>175.3368794326241</v>
      </c>
      <c r="D26" s="1395">
        <f ca="1">'Datos CE e Socios'!$B$9*1000*(1/12)*(INDEX('Datos Socios (2)'!$C$2:$C$27,'Factura Socios Con CE (2)'!D2))</f>
        <v>215.79923622476812</v>
      </c>
      <c r="E26" s="1395">
        <f ca="1">'Datos CE e Socios'!$B$9*1000*(1/12)*(INDEX('Datos Socios (2)'!$C$2:$C$27,'Factura Socios Con CE (2)'!E2))</f>
        <v>189.25941080196398</v>
      </c>
      <c r="F26" s="1395">
        <f ca="1">'Datos CE e Socios'!$B$9*1000*(1/12)*(INDEX('Datos Socios (2)'!$C$2:$C$27,'Factura Socios Con CE (2)'!F2))</f>
        <v>123.99754500818331</v>
      </c>
      <c r="G26" s="1395">
        <f ca="1">'Datos CE e Socios'!$B$9*1000*(1/12)*(INDEX('Datos Socios (2)'!$C$2:$C$27,'Factura Socios Con CE (2)'!G2))</f>
        <v>107.89961811238406</v>
      </c>
      <c r="H26" s="1395">
        <f ca="1">'Datos CE e Socios'!$B$9*1000*(1/12)*(INDEX('Datos Socios (2)'!$C$2:$C$27,'Factura Socios Con CE (2)'!H2))</f>
        <v>96.587561374795413</v>
      </c>
      <c r="I26" s="1395">
        <f ca="1">'Datos CE e Socios'!$B$9*1000*(1/12)*(INDEX('Datos Socios (2)'!$C$2:$C$27,'Factura Socios Con CE (2)'!I2))</f>
        <v>224.06573922531368</v>
      </c>
      <c r="J26" s="1395">
        <f ca="1">'Datos CE e Socios'!$B$9*1000*(1/12)*(INDEX('Datos Socios (2)'!$C$2:$C$27,'Factura Socios Con CE (2)'!J2))</f>
        <v>118.34151663938898</v>
      </c>
      <c r="K26" s="1395">
        <f ca="1">'Datos CE e Socios'!$B$9*1000*(1/12)*(INDEX('Datos Socios (2)'!$C$2:$C$27,'Factura Socios Con CE (2)'!K2))</f>
        <v>198.39607201309329</v>
      </c>
      <c r="L26" s="1395">
        <f ca="1">'Datos CE e Socios'!$B$9*1000*(1/12)*(INDEX('Datos Socios (2)'!$C$2:$C$27,'Factura Socios Con CE (2)'!L2))</f>
        <v>134.43944353518819</v>
      </c>
      <c r="M26" s="1395">
        <f ca="1">'Datos CE e Socios'!$B$9*1000*(1/12)*(INDEX('Datos Socios (2)'!$C$2:$C$27,'Factura Socios Con CE (2)'!M2))</f>
        <v>207.09765411893071</v>
      </c>
      <c r="N26" s="1395">
        <f ca="1">'Datos CE e Socios'!$B$9*1000*(1/12)*(INDEX('Datos Socios (2)'!$C$2:$C$27,'Factura Socios Con CE (2)'!N2))</f>
        <v>197.09083469721767</v>
      </c>
      <c r="O26" s="1395">
        <f ca="1">'Datos CE e Socios'!$B$9*1000*(1/12)*(INDEX('Datos Socios (2)'!$C$2:$C$27,'Factura Socios Con CE (2)'!O2))</f>
        <v>120.08183306055645</v>
      </c>
      <c r="P26" s="1395">
        <f ca="1">'Datos CE e Socios'!$B$9*1000*(1/12)*(INDEX('Datos Socios (2)'!$C$2:$C$27,'Factura Socios Con CE (2)'!P2))</f>
        <v>135.7446808510638</v>
      </c>
      <c r="Q26" s="1395">
        <f ca="1">'Datos CE e Socios'!$B$9*1000*(1/12)*(INDEX('Datos Socios (2)'!$C$2:$C$27,'Factura Socios Con CE (2)'!Q2))</f>
        <v>157.49863611565738</v>
      </c>
      <c r="R26" s="1395">
        <f ca="1">'Datos CE e Socios'!$B$9*1000*(1/12)*(INDEX('Datos Socios (2)'!$C$2:$C$27,'Factura Socios Con CE (2)'!R2))</f>
        <v>224.93589743589743</v>
      </c>
      <c r="S26" s="1395">
        <f ca="1">'Datos CE e Socios'!$B$9*1000*(1/12)*(INDEX('Datos Socios (2)'!$C$2:$C$27,'Factura Socios Con CE (2)'!S2))</f>
        <v>132.69912711402074</v>
      </c>
      <c r="T26" s="1395">
        <f ca="1">'Datos CE e Socios'!$B$9*1000*(1/12)*(INDEX('Datos Socios (2)'!$C$2:$C$27,'Factura Socios Con CE (2)'!T2))</f>
        <v>182.7332242225859</v>
      </c>
      <c r="U26" s="1395">
        <f ca="1">'Datos CE e Socios'!$B$9*1000*(1/12)*(INDEX('Datos Socios (2)'!$C$2:$C$27,'Factura Socios Con CE (2)'!U2))</f>
        <v>175.77195853791599</v>
      </c>
      <c r="V26" s="1395">
        <f ca="1">'Datos CE e Socios'!$B$9*1000*(1/12)*(INDEX('Datos Socios (2)'!$C$2:$C$27,'Factura Socios Con CE (2)'!V2))</f>
        <v>57.86552100381887</v>
      </c>
      <c r="W26" s="1395">
        <f ca="1">'Datos CE e Socios'!$B$9*1000*(1/12)*(INDEX('Datos Socios (2)'!$C$2:$C$27,'Factura Socios Con CE (2)'!W2))</f>
        <v>168.37561374795416</v>
      </c>
      <c r="X26" s="1395">
        <f ca="1">'Datos CE e Socios'!$B$9*1000*(1/12)*(INDEX('Datos Socios (2)'!$C$2:$C$27,'Factura Socios Con CE (2)'!X2))</f>
        <v>87.450900163666105</v>
      </c>
      <c r="Y26" s="1395">
        <f ca="1">'Datos CE e Socios'!$B$9*1000*(1/12)*(INDEX('Datos Socios (2)'!$C$2:$C$27,'Factura Socios Con CE (2)'!Y2))</f>
        <v>51.3393344244408</v>
      </c>
      <c r="Z26" s="1395">
        <f ca="1">'Datos CE e Socios'!$B$9*1000*(1/12)*(INDEX('Datos Socios (2)'!$C$2:$C$27,'Factura Socios Con CE (2)'!Z2))</f>
        <v>194.48036006546644</v>
      </c>
      <c r="AA26" s="1394">
        <f ca="1">SUM(B26:Z26)</f>
        <v>3721.6666666666665</v>
      </c>
    </row>
    <row r="27" spans="1:27" x14ac:dyDescent="0.35">
      <c r="A27" s="1104" t="s">
        <v>1130</v>
      </c>
      <c r="B27" s="1393">
        <f ca="1">'Datos CE e Socios'!$B$10*1000*(1/12)*(INDEX('Datos Socios (2)'!$C$2:$C$27,'Factura Socios Con CE (2)'!B2))</f>
        <v>44.378068739770868</v>
      </c>
      <c r="C27" s="1392">
        <f ca="1">'Datos CE e Socios'!$B$10*1000*(1/12)*(INDEX('Datos Socios (2)'!$C$2:$C$27,'Factura Socios Con CE (2)'!C2))</f>
        <v>175.3368794326241</v>
      </c>
      <c r="D27" s="1392">
        <f ca="1">'Datos CE e Socios'!$B$10*1000*(1/12)*(INDEX('Datos Socios (2)'!$C$2:$C$27,'Factura Socios Con CE (2)'!D2))</f>
        <v>215.79923622476812</v>
      </c>
      <c r="E27" s="1392">
        <f ca="1">'Datos CE e Socios'!$B$10*1000*(1/12)*(INDEX('Datos Socios (2)'!$C$2:$C$27,'Factura Socios Con CE (2)'!E2))</f>
        <v>189.25941080196398</v>
      </c>
      <c r="F27" s="1392">
        <f ca="1">'Datos CE e Socios'!$B$10*1000*(1/12)*(INDEX('Datos Socios (2)'!$C$2:$C$27,'Factura Socios Con CE (2)'!F2))</f>
        <v>123.99754500818331</v>
      </c>
      <c r="G27" s="1392">
        <f ca="1">'Datos CE e Socios'!$B$10*1000*(1/12)*(INDEX('Datos Socios (2)'!$C$2:$C$27,'Factura Socios Con CE (2)'!G2))</f>
        <v>107.89961811238406</v>
      </c>
      <c r="H27" s="1392">
        <f ca="1">'Datos CE e Socios'!$B$10*1000*(1/12)*(INDEX('Datos Socios (2)'!$C$2:$C$27,'Factura Socios Con CE (2)'!H2))</f>
        <v>96.587561374795413</v>
      </c>
      <c r="I27" s="1392">
        <f ca="1">'Datos CE e Socios'!$B$10*1000*(1/12)*(INDEX('Datos Socios (2)'!$C$2:$C$27,'Factura Socios Con CE (2)'!I2))</f>
        <v>224.06573922531368</v>
      </c>
      <c r="J27" s="1392">
        <f ca="1">'Datos CE e Socios'!$B$10*1000*(1/12)*(INDEX('Datos Socios (2)'!$C$2:$C$27,'Factura Socios Con CE (2)'!J2))</f>
        <v>118.34151663938898</v>
      </c>
      <c r="K27" s="1392">
        <f ca="1">'Datos CE e Socios'!$B$10*1000*(1/12)*(INDEX('Datos Socios (2)'!$C$2:$C$27,'Factura Socios Con CE (2)'!K2))</f>
        <v>198.39607201309329</v>
      </c>
      <c r="L27" s="1392">
        <f ca="1">'Datos CE e Socios'!$B$10*1000*(1/12)*(INDEX('Datos Socios (2)'!$C$2:$C$27,'Factura Socios Con CE (2)'!L2))</f>
        <v>134.43944353518819</v>
      </c>
      <c r="M27" s="1392">
        <f ca="1">'Datos CE e Socios'!$B$10*1000*(1/12)*(INDEX('Datos Socios (2)'!$C$2:$C$27,'Factura Socios Con CE (2)'!M2))</f>
        <v>207.09765411893071</v>
      </c>
      <c r="N27" s="1392">
        <f ca="1">'Datos CE e Socios'!$B$10*1000*(1/12)*(INDEX('Datos Socios (2)'!$C$2:$C$27,'Factura Socios Con CE (2)'!N2))</f>
        <v>197.09083469721767</v>
      </c>
      <c r="O27" s="1392">
        <f ca="1">'Datos CE e Socios'!$B$10*1000*(1/12)*(INDEX('Datos Socios (2)'!$C$2:$C$27,'Factura Socios Con CE (2)'!O2))</f>
        <v>120.08183306055645</v>
      </c>
      <c r="P27" s="1392">
        <f ca="1">'Datos CE e Socios'!$B$10*1000*(1/12)*(INDEX('Datos Socios (2)'!$C$2:$C$27,'Factura Socios Con CE (2)'!P2))</f>
        <v>135.7446808510638</v>
      </c>
      <c r="Q27" s="1392">
        <f ca="1">'Datos CE e Socios'!$B$10*1000*(1/12)*(INDEX('Datos Socios (2)'!$C$2:$C$27,'Factura Socios Con CE (2)'!Q2))</f>
        <v>157.49863611565738</v>
      </c>
      <c r="R27" s="1392">
        <f ca="1">'Datos CE e Socios'!$B$10*1000*(1/12)*(INDEX('Datos Socios (2)'!$C$2:$C$27,'Factura Socios Con CE (2)'!R2))</f>
        <v>224.93589743589743</v>
      </c>
      <c r="S27" s="1392">
        <f ca="1">'Datos CE e Socios'!$B$10*1000*(1/12)*(INDEX('Datos Socios (2)'!$C$2:$C$27,'Factura Socios Con CE (2)'!S2))</f>
        <v>132.69912711402074</v>
      </c>
      <c r="T27" s="1392">
        <f ca="1">'Datos CE e Socios'!$B$10*1000*(1/12)*(INDEX('Datos Socios (2)'!$C$2:$C$27,'Factura Socios Con CE (2)'!T2))</f>
        <v>182.7332242225859</v>
      </c>
      <c r="U27" s="1392">
        <f ca="1">'Datos CE e Socios'!$B$10*1000*(1/12)*(INDEX('Datos Socios (2)'!$C$2:$C$27,'Factura Socios Con CE (2)'!U2))</f>
        <v>175.77195853791599</v>
      </c>
      <c r="V27" s="1392">
        <f ca="1">'Datos CE e Socios'!$B$10*1000*(1/12)*(INDEX('Datos Socios (2)'!$C$2:$C$27,'Factura Socios Con CE (2)'!V2))</f>
        <v>57.86552100381887</v>
      </c>
      <c r="W27" s="1392">
        <f ca="1">'Datos CE e Socios'!$B$10*1000*(1/12)*(INDEX('Datos Socios (2)'!$C$2:$C$27,'Factura Socios Con CE (2)'!W2))</f>
        <v>168.37561374795416</v>
      </c>
      <c r="X27" s="1392">
        <f ca="1">'Datos CE e Socios'!$B$10*1000*(1/12)*(INDEX('Datos Socios (2)'!$C$2:$C$27,'Factura Socios Con CE (2)'!X2))</f>
        <v>87.450900163666105</v>
      </c>
      <c r="Y27" s="1392">
        <f ca="1">'Datos CE e Socios'!$B$10*1000*(1/12)*(INDEX('Datos Socios (2)'!$C$2:$C$27,'Factura Socios Con CE (2)'!Y2))</f>
        <v>51.3393344244408</v>
      </c>
      <c r="Z27" s="1392">
        <f ca="1">'Datos CE e Socios'!$B$10*1000*(1/12)*(INDEX('Datos Socios (2)'!$C$2:$C$27,'Factura Socios Con CE (2)'!Z2))</f>
        <v>194.48036006546644</v>
      </c>
      <c r="AA27" s="1384">
        <f ca="1">SUM(B27:Z27)</f>
        <v>3721.6666666666665</v>
      </c>
    </row>
    <row r="28" spans="1:27" x14ac:dyDescent="0.35">
      <c r="A28" s="1104" t="s">
        <v>1129</v>
      </c>
      <c r="B28" s="1391">
        <f ca="1">'Datos CE e Socios'!$B$11*1000*(1/12)*(INDEX('Datos Socios (2)'!$C$2:$C$27,'Factura Socios Con CE (2)'!B2))</f>
        <v>0</v>
      </c>
      <c r="C28" s="1390">
        <f ca="1">'Datos CE e Socios'!$B$11*1000*(1/12)*(INDEX('Datos Socios (2)'!$C$2:$C$27,'Factura Socios Con CE (2)'!C2))</f>
        <v>0</v>
      </c>
      <c r="D28" s="1390">
        <f ca="1">'Datos CE e Socios'!$B$11*1000*(1/12)*(INDEX('Datos Socios (2)'!$C$2:$C$27,'Factura Socios Con CE (2)'!D2))</f>
        <v>0</v>
      </c>
      <c r="E28" s="1390">
        <f ca="1">'Datos CE e Socios'!$B$11*1000*(1/12)*(INDEX('Datos Socios (2)'!$C$2:$C$27,'Factura Socios Con CE (2)'!E2))</f>
        <v>0</v>
      </c>
      <c r="F28" s="1390">
        <f ca="1">'Datos CE e Socios'!$B$11*1000*(1/12)*(INDEX('Datos Socios (2)'!$C$2:$C$27,'Factura Socios Con CE (2)'!F2))</f>
        <v>0</v>
      </c>
      <c r="G28" s="1390">
        <f ca="1">'Datos CE e Socios'!$B$11*1000*(1/12)*(INDEX('Datos Socios (2)'!$C$2:$C$27,'Factura Socios Con CE (2)'!G2))</f>
        <v>0</v>
      </c>
      <c r="H28" s="1390">
        <f ca="1">'Datos CE e Socios'!$B$11*1000*(1/12)*(INDEX('Datos Socios (2)'!$C$2:$C$27,'Factura Socios Con CE (2)'!H2))</f>
        <v>0</v>
      </c>
      <c r="I28" s="1390">
        <f ca="1">'Datos CE e Socios'!$B$11*1000*(1/12)*(INDEX('Datos Socios (2)'!$C$2:$C$27,'Factura Socios Con CE (2)'!I2))</f>
        <v>0</v>
      </c>
      <c r="J28" s="1390">
        <f ca="1">'Datos CE e Socios'!$B$11*1000*(1/12)*(INDEX('Datos Socios (2)'!$C$2:$C$27,'Factura Socios Con CE (2)'!J2))</f>
        <v>0</v>
      </c>
      <c r="K28" s="1390">
        <f ca="1">'Datos CE e Socios'!$B$11*1000*(1/12)*(INDEX('Datos Socios (2)'!$C$2:$C$27,'Factura Socios Con CE (2)'!K2))</f>
        <v>0</v>
      </c>
      <c r="L28" s="1390">
        <f ca="1">'Datos CE e Socios'!$B$11*1000*(1/12)*(INDEX('Datos Socios (2)'!$C$2:$C$27,'Factura Socios Con CE (2)'!L2))</f>
        <v>0</v>
      </c>
      <c r="M28" s="1390">
        <f ca="1">'Datos CE e Socios'!$B$11*1000*(1/12)*(INDEX('Datos Socios (2)'!$C$2:$C$27,'Factura Socios Con CE (2)'!M2))</f>
        <v>0</v>
      </c>
      <c r="N28" s="1390">
        <f ca="1">'Datos CE e Socios'!$B$11*1000*(1/12)*(INDEX('Datos Socios (2)'!$C$2:$C$27,'Factura Socios Con CE (2)'!N2))</f>
        <v>0</v>
      </c>
      <c r="O28" s="1390">
        <f ca="1">'Datos CE e Socios'!$B$11*1000*(1/12)*(INDEX('Datos Socios (2)'!$C$2:$C$27,'Factura Socios Con CE (2)'!O2))</f>
        <v>0</v>
      </c>
      <c r="P28" s="1390">
        <f ca="1">'Datos CE e Socios'!$B$11*1000*(1/12)*(INDEX('Datos Socios (2)'!$C$2:$C$27,'Factura Socios Con CE (2)'!P2))</f>
        <v>0</v>
      </c>
      <c r="Q28" s="1390">
        <f ca="1">'Datos CE e Socios'!$B$11*1000*(1/12)*(INDEX('Datos Socios (2)'!$C$2:$C$27,'Factura Socios Con CE (2)'!Q2))</f>
        <v>0</v>
      </c>
      <c r="R28" s="1390">
        <f ca="1">'Datos CE e Socios'!$B$11*1000*(1/12)*(INDEX('Datos Socios (2)'!$C$2:$C$27,'Factura Socios Con CE (2)'!R2))</f>
        <v>0</v>
      </c>
      <c r="S28" s="1390">
        <f ca="1">'Datos CE e Socios'!$B$11*1000*(1/12)*(INDEX('Datos Socios (2)'!$C$2:$C$27,'Factura Socios Con CE (2)'!S2))</f>
        <v>0</v>
      </c>
      <c r="T28" s="1390">
        <f ca="1">'Datos CE e Socios'!$B$11*1000*(1/12)*(INDEX('Datos Socios (2)'!$C$2:$C$27,'Factura Socios Con CE (2)'!T2))</f>
        <v>0</v>
      </c>
      <c r="U28" s="1390">
        <f ca="1">'Datos CE e Socios'!$B$11*1000*(1/12)*(INDEX('Datos Socios (2)'!$C$2:$C$27,'Factura Socios Con CE (2)'!U2))</f>
        <v>0</v>
      </c>
      <c r="V28" s="1390">
        <f ca="1">'Datos CE e Socios'!$B$11*1000*(1/12)*(INDEX('Datos Socios (2)'!$C$2:$C$27,'Factura Socios Con CE (2)'!V2))</f>
        <v>0</v>
      </c>
      <c r="W28" s="1390">
        <f ca="1">'Datos CE e Socios'!$B$11*1000*(1/12)*(INDEX('Datos Socios (2)'!$C$2:$C$27,'Factura Socios Con CE (2)'!W2))</f>
        <v>0</v>
      </c>
      <c r="X28" s="1390">
        <f ca="1">'Datos CE e Socios'!$B$11*1000*(1/12)*(INDEX('Datos Socios (2)'!$C$2:$C$27,'Factura Socios Con CE (2)'!X2))</f>
        <v>0</v>
      </c>
      <c r="Y28" s="1390">
        <f ca="1">'Datos CE e Socios'!$B$11*1000*(1/12)*(INDEX('Datos Socios (2)'!$C$2:$C$27,'Factura Socios Con CE (2)'!Y2))</f>
        <v>0</v>
      </c>
      <c r="Z28" s="1390">
        <f ca="1">'Datos CE e Socios'!$B$11*1000*(1/12)*(INDEX('Datos Socios (2)'!$C$2:$C$27,'Factura Socios Con CE (2)'!Z2))</f>
        <v>0</v>
      </c>
      <c r="AA28" s="1382">
        <f ca="1">SUM(B28:Z28)</f>
        <v>0</v>
      </c>
    </row>
    <row r="29" spans="1:27" x14ac:dyDescent="0.35">
      <c r="A29" s="1104" t="s">
        <v>1198</v>
      </c>
      <c r="B29" s="1273">
        <f t="shared" ref="B29:Z29" ca="1" si="4">SUM(B26:B28)</f>
        <v>88.756137479541735</v>
      </c>
      <c r="C29" s="1270">
        <f t="shared" ca="1" si="4"/>
        <v>350.6737588652482</v>
      </c>
      <c r="D29" s="1270">
        <f t="shared" ca="1" si="4"/>
        <v>431.59847244953625</v>
      </c>
      <c r="E29" s="1270">
        <f t="shared" ca="1" si="4"/>
        <v>378.51882160392796</v>
      </c>
      <c r="F29" s="1270">
        <f t="shared" ca="1" si="4"/>
        <v>247.99509001636662</v>
      </c>
      <c r="G29" s="1270">
        <f t="shared" ca="1" si="4"/>
        <v>215.79923622476812</v>
      </c>
      <c r="H29" s="1270">
        <f t="shared" ca="1" si="4"/>
        <v>193.17512274959083</v>
      </c>
      <c r="I29" s="1270">
        <f t="shared" ca="1" si="4"/>
        <v>448.13147845062736</v>
      </c>
      <c r="J29" s="1270">
        <f t="shared" ca="1" si="4"/>
        <v>236.68303327877797</v>
      </c>
      <c r="K29" s="1270">
        <f t="shared" ca="1" si="4"/>
        <v>396.79214402618658</v>
      </c>
      <c r="L29" s="1270">
        <f t="shared" ca="1" si="4"/>
        <v>268.87888707037638</v>
      </c>
      <c r="M29" s="1270">
        <f t="shared" ca="1" si="4"/>
        <v>414.19530823786141</v>
      </c>
      <c r="N29" s="1270">
        <f t="shared" ca="1" si="4"/>
        <v>394.18166939443535</v>
      </c>
      <c r="O29" s="1270">
        <f t="shared" ca="1" si="4"/>
        <v>240.1636661211129</v>
      </c>
      <c r="P29" s="1270">
        <f t="shared" ca="1" si="4"/>
        <v>271.48936170212761</v>
      </c>
      <c r="Q29" s="1270">
        <f t="shared" ca="1" si="4"/>
        <v>314.99727223131475</v>
      </c>
      <c r="R29" s="1270">
        <f t="shared" ca="1" si="4"/>
        <v>449.87179487179486</v>
      </c>
      <c r="S29" s="1270">
        <f t="shared" ca="1" si="4"/>
        <v>265.39825422804148</v>
      </c>
      <c r="T29" s="1270">
        <f t="shared" ca="1" si="4"/>
        <v>365.46644844517181</v>
      </c>
      <c r="U29" s="1270">
        <f t="shared" ca="1" si="4"/>
        <v>351.54391707583198</v>
      </c>
      <c r="V29" s="1270">
        <f t="shared" ca="1" si="4"/>
        <v>115.73104200763774</v>
      </c>
      <c r="W29" s="1270">
        <f t="shared" ca="1" si="4"/>
        <v>336.75122749590832</v>
      </c>
      <c r="X29" s="1270">
        <f t="shared" ca="1" si="4"/>
        <v>174.90180032733221</v>
      </c>
      <c r="Y29" s="1270">
        <f t="shared" ca="1" si="4"/>
        <v>102.6786688488816</v>
      </c>
      <c r="Z29" s="1287">
        <f t="shared" ca="1" si="4"/>
        <v>388.96072013093288</v>
      </c>
      <c r="AA29" s="1374">
        <f ca="1">SUM(B29:Z29)</f>
        <v>7443.333333333333</v>
      </c>
    </row>
    <row r="30" spans="1:27" ht="15" thickBot="1" x14ac:dyDescent="0.4"/>
    <row r="31" spans="1:27" ht="15" thickBot="1" x14ac:dyDescent="0.4">
      <c r="A31" s="615" t="s">
        <v>1124</v>
      </c>
      <c r="B31" s="1389">
        <f ca="1">(INDEX('Datos Socios (2)'!$B$2:$B$27,'Factura Socios Con CE (2)'!B2))</f>
        <v>102</v>
      </c>
      <c r="C31" s="1388">
        <f ca="1">(INDEX('Datos Socios (2)'!$B$2:$B$27,'Factura Socios Con CE (2)'!C2))</f>
        <v>403</v>
      </c>
      <c r="D31" s="1388">
        <f ca="1">(INDEX('Datos Socios (2)'!$B$2:$B$27,'Factura Socios Con CE (2)'!D2))</f>
        <v>496</v>
      </c>
      <c r="E31" s="1388">
        <f ca="1">(INDEX('Datos Socios (2)'!$B$2:$B$27,'Factura Socios Con CE (2)'!E2))</f>
        <v>435</v>
      </c>
      <c r="F31" s="1388">
        <f ca="1">(INDEX('Datos Socios (2)'!$B$2:$B$27,'Factura Socios Con CE (2)'!F2))</f>
        <v>285</v>
      </c>
      <c r="G31" s="1388">
        <f ca="1">(INDEX('Datos Socios (2)'!$B$2:$B$27,'Factura Socios Con CE (2)'!G2))</f>
        <v>248</v>
      </c>
      <c r="H31" s="1388">
        <f ca="1">(INDEX('Datos Socios (2)'!$B$2:$B$27,'Factura Socios Con CE (2)'!H2))</f>
        <v>222</v>
      </c>
      <c r="I31" s="1388">
        <f ca="1">(INDEX('Datos Socios (2)'!$B$2:$B$27,'Factura Socios Con CE (2)'!I2))</f>
        <v>515</v>
      </c>
      <c r="J31" s="1388">
        <f ca="1">(INDEX('Datos Socios (2)'!$B$2:$B$27,'Factura Socios Con CE (2)'!J2))</f>
        <v>272</v>
      </c>
      <c r="K31" s="1388">
        <f ca="1">(INDEX('Datos Socios (2)'!$B$2:$B$27,'Factura Socios Con CE (2)'!K2))</f>
        <v>456</v>
      </c>
      <c r="L31" s="1388">
        <f ca="1">(INDEX('Datos Socios (2)'!$B$2:$B$27,'Factura Socios Con CE (2)'!L2))</f>
        <v>309</v>
      </c>
      <c r="M31" s="1388">
        <f ca="1">(INDEX('Datos Socios (2)'!$B$2:$B$27,'Factura Socios Con CE (2)'!M2))</f>
        <v>476</v>
      </c>
      <c r="N31" s="1388">
        <f ca="1">(INDEX('Datos Socios (2)'!$B$2:$B$27,'Factura Socios Con CE (2)'!N2))</f>
        <v>453</v>
      </c>
      <c r="O31" s="1388">
        <f ca="1">(INDEX('Datos Socios (2)'!$B$2:$B$27,'Factura Socios Con CE (2)'!O2))</f>
        <v>276</v>
      </c>
      <c r="P31" s="1388">
        <f ca="1">(INDEX('Datos Socios (2)'!$B$2:$B$27,'Factura Socios Con CE (2)'!P2))</f>
        <v>312</v>
      </c>
      <c r="Q31" s="1388">
        <f ca="1">(INDEX('Datos Socios (2)'!$B$2:$B$27,'Factura Socios Con CE (2)'!Q2))</f>
        <v>362</v>
      </c>
      <c r="R31" s="1388">
        <f ca="1">(INDEX('Datos Socios (2)'!$B$2:$B$27,'Factura Socios Con CE (2)'!R2))</f>
        <v>517</v>
      </c>
      <c r="S31" s="1388">
        <f ca="1">(INDEX('Datos Socios (2)'!$B$2:$B$27,'Factura Socios Con CE (2)'!S2))</f>
        <v>305</v>
      </c>
      <c r="T31" s="1388">
        <f ca="1">(INDEX('Datos Socios (2)'!$B$2:$B$27,'Factura Socios Con CE (2)'!T2))</f>
        <v>420</v>
      </c>
      <c r="U31" s="1388">
        <f ca="1">(INDEX('Datos Socios (2)'!$B$2:$B$27,'Factura Socios Con CE (2)'!U2))</f>
        <v>404</v>
      </c>
      <c r="V31" s="1388">
        <f ca="1">(INDEX('Datos Socios (2)'!$B$2:$B$27,'Factura Socios Con CE (2)'!V2))</f>
        <v>133</v>
      </c>
      <c r="W31" s="1388">
        <f ca="1">(INDEX('Datos Socios (2)'!$B$2:$B$27,'Factura Socios Con CE (2)'!W2))</f>
        <v>387</v>
      </c>
      <c r="X31" s="1388">
        <f ca="1">(INDEX('Datos Socios (2)'!$B$2:$B$27,'Factura Socios Con CE (2)'!X2))</f>
        <v>201</v>
      </c>
      <c r="Y31" s="1388">
        <f ca="1">(INDEX('Datos Socios (2)'!$B$2:$B$27,'Factura Socios Con CE (2)'!Y2))</f>
        <v>118</v>
      </c>
      <c r="Z31" s="1387">
        <f ca="1">(INDEX('Datos Socios (2)'!$B$2:$B$27,'Factura Socios Con CE (2)'!Z2))</f>
        <v>447</v>
      </c>
      <c r="AA31" s="1386">
        <f ca="1">SUM(B31:Z31)</f>
        <v>8554</v>
      </c>
    </row>
    <row r="32" spans="1:27" x14ac:dyDescent="0.35">
      <c r="A32" t="s">
        <v>1123</v>
      </c>
      <c r="B32" s="1383">
        <f ca="1">'Hipóteses xerais (2)'!$C$26*B35</f>
        <v>44.378068739770868</v>
      </c>
      <c r="C32" s="1180">
        <f ca="1">'Hipóteses xerais (2)'!$C$26*C35</f>
        <v>175.3368794326241</v>
      </c>
      <c r="D32" s="1180">
        <f ca="1">'Hipóteses xerais (2)'!$C$26*D35</f>
        <v>215.79923622476812</v>
      </c>
      <c r="E32" s="1180">
        <f ca="1">'Hipóteses xerais (2)'!$C$26*E35</f>
        <v>189.25941080196398</v>
      </c>
      <c r="F32" s="1180">
        <f ca="1">'Hipóteses xerais (2)'!$C$26*F35</f>
        <v>123.99754500818331</v>
      </c>
      <c r="G32" s="1180">
        <f ca="1">'Hipóteses xerais (2)'!$C$26*G35</f>
        <v>107.89961811238406</v>
      </c>
      <c r="H32" s="1180">
        <f ca="1">'Hipóteses xerais (2)'!$C$26*H35</f>
        <v>96.587561374795413</v>
      </c>
      <c r="I32" s="1180">
        <f ca="1">'Hipóteses xerais (2)'!$C$26*I35</f>
        <v>224.06573922531368</v>
      </c>
      <c r="J32" s="1180">
        <f ca="1">'Hipóteses xerais (2)'!$C$26*J35</f>
        <v>118.34151663938898</v>
      </c>
      <c r="K32" s="1180">
        <f ca="1">'Hipóteses xerais (2)'!$C$26*K35</f>
        <v>198.39607201309329</v>
      </c>
      <c r="L32" s="1180">
        <f ca="1">'Hipóteses xerais (2)'!$C$26*L35</f>
        <v>134.43944353518819</v>
      </c>
      <c r="M32" s="1180">
        <f ca="1">'Hipóteses xerais (2)'!$C$26*M35</f>
        <v>207.09765411893071</v>
      </c>
      <c r="N32" s="1180">
        <f ca="1">'Hipóteses xerais (2)'!$C$26*N35</f>
        <v>197.09083469721767</v>
      </c>
      <c r="O32" s="1180">
        <f ca="1">'Hipóteses xerais (2)'!$C$26*O35</f>
        <v>120.08183306055645</v>
      </c>
      <c r="P32" s="1180">
        <f ca="1">'Hipóteses xerais (2)'!$C$26*P35</f>
        <v>135.7446808510638</v>
      </c>
      <c r="Q32" s="1180">
        <f ca="1">'Hipóteses xerais (2)'!$C$26*Q35</f>
        <v>157.49863611565738</v>
      </c>
      <c r="R32" s="1180">
        <f ca="1">'Hipóteses xerais (2)'!$C$26*R35</f>
        <v>224.93589743589743</v>
      </c>
      <c r="S32" s="1180">
        <f ca="1">'Hipóteses xerais (2)'!$C$26*S35</f>
        <v>132.69912711402074</v>
      </c>
      <c r="T32" s="1180">
        <f ca="1">'Hipóteses xerais (2)'!$C$26*T35</f>
        <v>182.7332242225859</v>
      </c>
      <c r="U32" s="1180">
        <f ca="1">'Hipóteses xerais (2)'!$C$26*U35</f>
        <v>175.77195853791599</v>
      </c>
      <c r="V32" s="1180">
        <f ca="1">'Hipóteses xerais (2)'!$C$26*V35</f>
        <v>57.86552100381887</v>
      </c>
      <c r="W32" s="1180">
        <f ca="1">'Hipóteses xerais (2)'!$C$26*W35</f>
        <v>168.37561374795416</v>
      </c>
      <c r="X32" s="1180">
        <f ca="1">'Hipóteses xerais (2)'!$C$26*X35</f>
        <v>87.450900163666105</v>
      </c>
      <c r="Y32" s="1180">
        <f ca="1">'Hipóteses xerais (2)'!$C$26*Y35</f>
        <v>51.3393344244408</v>
      </c>
      <c r="Z32" s="1180">
        <f ca="1">'Hipóteses xerais (2)'!$C$26*Z35</f>
        <v>194.48036006546644</v>
      </c>
      <c r="AA32" s="1385">
        <f ca="1">SUM(B32:Z32)</f>
        <v>3721.6666666666665</v>
      </c>
    </row>
    <row r="33" spans="1:27" x14ac:dyDescent="0.35">
      <c r="A33" t="s">
        <v>1197</v>
      </c>
      <c r="B33" s="1383">
        <f ca="1">IF(B28=0,(B35*'Hipóteses xerais (2)'!$C$27),0)</f>
        <v>44.378068739770868</v>
      </c>
      <c r="C33" s="1180">
        <f ca="1">IF(C28=0,(C35*'Hipóteses xerais (2)'!$C$27),0)</f>
        <v>175.3368794326241</v>
      </c>
      <c r="D33" s="1180">
        <f ca="1">IF(D28=0,(D35*'Hipóteses xerais (2)'!$C$27),0)</f>
        <v>215.79923622476812</v>
      </c>
      <c r="E33" s="1180">
        <f ca="1">IF(E28=0,(E35*'Hipóteses xerais (2)'!$C$27),0)</f>
        <v>189.25941080196398</v>
      </c>
      <c r="F33" s="1180">
        <f ca="1">IF(F28=0,(F35*'Hipóteses xerais (2)'!$C$27),0)</f>
        <v>123.99754500818331</v>
      </c>
      <c r="G33" s="1180">
        <f ca="1">IF(G28=0,(G35*'Hipóteses xerais (2)'!$C$27),0)</f>
        <v>107.89961811238406</v>
      </c>
      <c r="H33" s="1180">
        <f ca="1">IF(H28=0,(H35*'Hipóteses xerais (2)'!$C$27),0)</f>
        <v>96.587561374795413</v>
      </c>
      <c r="I33" s="1180">
        <f ca="1">IF(I28=0,(I35*'Hipóteses xerais (2)'!$C$27),0)</f>
        <v>224.06573922531368</v>
      </c>
      <c r="J33" s="1180">
        <f ca="1">IF(J28=0,(J35*'Hipóteses xerais (2)'!$C$27),0)</f>
        <v>118.34151663938898</v>
      </c>
      <c r="K33" s="1180">
        <f ca="1">IF(K28=0,(K35*'Hipóteses xerais (2)'!$C$27),0)</f>
        <v>198.39607201309329</v>
      </c>
      <c r="L33" s="1180">
        <f ca="1">IF(L28=0,(L35*'Hipóteses xerais (2)'!$C$27),0)</f>
        <v>134.43944353518819</v>
      </c>
      <c r="M33" s="1180">
        <f ca="1">IF(M28=0,(M35*'Hipóteses xerais (2)'!$C$27),0)</f>
        <v>207.09765411893071</v>
      </c>
      <c r="N33" s="1180">
        <f ca="1">IF(N28=0,(N35*'Hipóteses xerais (2)'!$C$27),0)</f>
        <v>197.09083469721767</v>
      </c>
      <c r="O33" s="1180">
        <f ca="1">IF(O28=0,(O35*'Hipóteses xerais (2)'!$C$27),0)</f>
        <v>120.08183306055645</v>
      </c>
      <c r="P33" s="1180">
        <f ca="1">IF(P28=0,(P35*'Hipóteses xerais (2)'!$C$27),0)</f>
        <v>135.7446808510638</v>
      </c>
      <c r="Q33" s="1180">
        <f ca="1">IF(Q28=0,(Q35*'Hipóteses xerais (2)'!$C$27),0)</f>
        <v>157.49863611565738</v>
      </c>
      <c r="R33" s="1180">
        <f ca="1">IF(R28=0,(R35*'Hipóteses xerais (2)'!$C$27),0)</f>
        <v>224.93589743589743</v>
      </c>
      <c r="S33" s="1180">
        <f ca="1">IF(S28=0,(S35*'Hipóteses xerais (2)'!$C$27),0)</f>
        <v>132.69912711402074</v>
      </c>
      <c r="T33" s="1180">
        <f ca="1">IF(T28=0,(T35*'Hipóteses xerais (2)'!$C$27),0)</f>
        <v>182.7332242225859</v>
      </c>
      <c r="U33" s="1180">
        <f ca="1">IF(U28=0,(U35*'Hipóteses xerais (2)'!$C$27),0)</f>
        <v>175.77195853791599</v>
      </c>
      <c r="V33" s="1180">
        <f ca="1">IF(V28=0,(V35*'Hipóteses xerais (2)'!$C$27),0)</f>
        <v>57.86552100381887</v>
      </c>
      <c r="W33" s="1180">
        <f ca="1">IF(W28=0,(W35*'Hipóteses xerais (2)'!$C$27),0)</f>
        <v>168.37561374795416</v>
      </c>
      <c r="X33" s="1180">
        <f ca="1">IF(X28=0,(X35*'Hipóteses xerais (2)'!$C$27),0)</f>
        <v>87.450900163666105</v>
      </c>
      <c r="Y33" s="1180">
        <f ca="1">IF(Y28=0,(Y35*'Hipóteses xerais (2)'!$C$27),0)</f>
        <v>51.3393344244408</v>
      </c>
      <c r="Z33" s="1180">
        <f ca="1">IF(Z28=0,(Z35*'Hipóteses xerais (2)'!$C$27),0)</f>
        <v>194.48036006546644</v>
      </c>
      <c r="AA33" s="1384">
        <f ca="1">SUM(B33:Z33)</f>
        <v>3721.6666666666665</v>
      </c>
    </row>
    <row r="34" spans="1:27" x14ac:dyDescent="0.35">
      <c r="A34" t="s">
        <v>1121</v>
      </c>
      <c r="B34" s="1383">
        <f ca="1">IF(B28=0,0,(B35*'Hipóteses xerais (2)'!$C$28))</f>
        <v>0</v>
      </c>
      <c r="C34" s="1180">
        <f ca="1">IF(C28=0,0,(C35*'Hipóteses xerais (2)'!$C$28))</f>
        <v>0</v>
      </c>
      <c r="D34" s="1180">
        <f ca="1">IF(D28=0,0,(D35*'Hipóteses xerais (2)'!$C$28))</f>
        <v>0</v>
      </c>
      <c r="E34" s="1180">
        <f ca="1">IF(E28=0,0,(E35*'Hipóteses xerais (2)'!$C$28))</f>
        <v>0</v>
      </c>
      <c r="F34" s="1180">
        <f ca="1">IF(F28=0,0,(F35*'Hipóteses xerais (2)'!$C$28))</f>
        <v>0</v>
      </c>
      <c r="G34" s="1180">
        <f ca="1">IF(G28=0,0,(G35*'Hipóteses xerais (2)'!$C$28))</f>
        <v>0</v>
      </c>
      <c r="H34" s="1180">
        <f ca="1">IF(H28=0,0,(H35*'Hipóteses xerais (2)'!$C$28))</f>
        <v>0</v>
      </c>
      <c r="I34" s="1180">
        <f ca="1">IF(I28=0,0,(I35*'Hipóteses xerais (2)'!$C$28))</f>
        <v>0</v>
      </c>
      <c r="J34" s="1180">
        <f ca="1">IF(J28=0,0,(J35*'Hipóteses xerais (2)'!$C$28))</f>
        <v>0</v>
      </c>
      <c r="K34" s="1180">
        <f ca="1">IF(K28=0,0,(K35*'Hipóteses xerais (2)'!$C$28))</f>
        <v>0</v>
      </c>
      <c r="L34" s="1180">
        <f ca="1">IF(L28=0,0,(L35*'Hipóteses xerais (2)'!$C$28))</f>
        <v>0</v>
      </c>
      <c r="M34" s="1180">
        <f ca="1">IF(M28=0,0,(M35*'Hipóteses xerais (2)'!$C$28))</f>
        <v>0</v>
      </c>
      <c r="N34" s="1180">
        <f ca="1">IF(N28=0,0,(N35*'Hipóteses xerais (2)'!$C$28))</f>
        <v>0</v>
      </c>
      <c r="O34" s="1180">
        <f ca="1">IF(O28=0,0,(O35*'Hipóteses xerais (2)'!$C$28))</f>
        <v>0</v>
      </c>
      <c r="P34" s="1180">
        <f ca="1">IF(P28=0,0,(P35*'Hipóteses xerais (2)'!$C$28))</f>
        <v>0</v>
      </c>
      <c r="Q34" s="1180">
        <f ca="1">IF(Q28=0,0,(Q35*'Hipóteses xerais (2)'!$C$28))</f>
        <v>0</v>
      </c>
      <c r="R34" s="1180">
        <f ca="1">IF(R28=0,0,(R35*'Hipóteses xerais (2)'!$C$28))</f>
        <v>0</v>
      </c>
      <c r="S34" s="1180">
        <f ca="1">IF(S28=0,0,(S35*'Hipóteses xerais (2)'!$C$28))</f>
        <v>0</v>
      </c>
      <c r="T34" s="1180">
        <f ca="1">IF(T28=0,0,(T35*'Hipóteses xerais (2)'!$C$28))</f>
        <v>0</v>
      </c>
      <c r="U34" s="1180">
        <f ca="1">IF(U28=0,0,(U35*'Hipóteses xerais (2)'!$C$28))</f>
        <v>0</v>
      </c>
      <c r="V34" s="1180">
        <f ca="1">IF(V28=0,0,(V35*'Hipóteses xerais (2)'!$C$28))</f>
        <v>0</v>
      </c>
      <c r="W34" s="1180">
        <f ca="1">IF(W28=0,0,(W35*'Hipóteses xerais (2)'!$C$28))</f>
        <v>0</v>
      </c>
      <c r="X34" s="1180">
        <f ca="1">IF(X28=0,0,(X35*'Hipóteses xerais (2)'!$C$28))</f>
        <v>0</v>
      </c>
      <c r="Y34" s="1180">
        <f ca="1">IF(Y28=0,0,(Y35*'Hipóteses xerais (2)'!$C$28))</f>
        <v>0</v>
      </c>
      <c r="Z34" s="1180">
        <f ca="1">IF(Z28=0,0,(Z35*'Hipóteses xerais (2)'!$C$28))</f>
        <v>0</v>
      </c>
      <c r="AA34" s="1382">
        <f ca="1">SUM(B34:Z34)</f>
        <v>0</v>
      </c>
    </row>
    <row r="35" spans="1:27" x14ac:dyDescent="0.35">
      <c r="A35" s="1281" t="s">
        <v>1162</v>
      </c>
      <c r="B35" s="1381">
        <f ca="1">MIN(B29,(B31*'Hipóteses xerais (2)'!$C$70))</f>
        <v>88.756137479541735</v>
      </c>
      <c r="C35" s="1380">
        <f ca="1">MIN(C29,(C31*'Hipóteses xerais (2)'!$C$70))</f>
        <v>350.6737588652482</v>
      </c>
      <c r="D35" s="1380">
        <f ca="1">MIN(D29,(D31*'Hipóteses xerais (2)'!$C$70))</f>
        <v>431.59847244953625</v>
      </c>
      <c r="E35" s="1380">
        <f ca="1">MIN(E29,(E31*'Hipóteses xerais (2)'!$C$70))</f>
        <v>378.51882160392796</v>
      </c>
      <c r="F35" s="1380">
        <f ca="1">MIN(F29,(F31*'Hipóteses xerais (2)'!$C$70))</f>
        <v>247.99509001636662</v>
      </c>
      <c r="G35" s="1380">
        <f ca="1">MIN(G29,(G31*'Hipóteses xerais (2)'!$C$70))</f>
        <v>215.79923622476812</v>
      </c>
      <c r="H35" s="1380">
        <f ca="1">MIN(H29,(H31*'Hipóteses xerais (2)'!$C$70))</f>
        <v>193.17512274959083</v>
      </c>
      <c r="I35" s="1380">
        <f ca="1">MIN(I29,(I31*'Hipóteses xerais (2)'!$C$70))</f>
        <v>448.13147845062736</v>
      </c>
      <c r="J35" s="1380">
        <f ca="1">MIN(J29,(J31*'Hipóteses xerais (2)'!$C$70))</f>
        <v>236.68303327877797</v>
      </c>
      <c r="K35" s="1380">
        <f ca="1">MIN(K29,(K31*'Hipóteses xerais (2)'!$C$70))</f>
        <v>396.79214402618658</v>
      </c>
      <c r="L35" s="1380">
        <f ca="1">MIN(L29,(L31*'Hipóteses xerais (2)'!$C$70))</f>
        <v>268.87888707037638</v>
      </c>
      <c r="M35" s="1380">
        <f ca="1">MIN(M29,(M31*'Hipóteses xerais (2)'!$C$70))</f>
        <v>414.19530823786141</v>
      </c>
      <c r="N35" s="1380">
        <f ca="1">MIN(N29,(N31*'Hipóteses xerais (2)'!$C$70))</f>
        <v>394.18166939443535</v>
      </c>
      <c r="O35" s="1380">
        <f ca="1">MIN(O29,(O31*'Hipóteses xerais (2)'!$C$70))</f>
        <v>240.1636661211129</v>
      </c>
      <c r="P35" s="1380">
        <f ca="1">MIN(P29,(P31*'Hipóteses xerais (2)'!$C$70))</f>
        <v>271.48936170212761</v>
      </c>
      <c r="Q35" s="1380">
        <f ca="1">MIN(Q29,(Q31*'Hipóteses xerais (2)'!$C$70))</f>
        <v>314.99727223131475</v>
      </c>
      <c r="R35" s="1380">
        <f ca="1">MIN(R29,(R31*'Hipóteses xerais (2)'!$C$70))</f>
        <v>449.87179487179486</v>
      </c>
      <c r="S35" s="1380">
        <f ca="1">MIN(S29,(S31*'Hipóteses xerais (2)'!$C$70))</f>
        <v>265.39825422804148</v>
      </c>
      <c r="T35" s="1380">
        <f ca="1">MIN(T29,(T31*'Hipóteses xerais (2)'!$C$70))</f>
        <v>365.46644844517181</v>
      </c>
      <c r="U35" s="1380">
        <f ca="1">MIN(U29,(U31*'Hipóteses xerais (2)'!$C$70))</f>
        <v>351.54391707583198</v>
      </c>
      <c r="V35" s="1380">
        <f ca="1">MIN(V29,(V31*'Hipóteses xerais (2)'!$C$70))</f>
        <v>115.73104200763774</v>
      </c>
      <c r="W35" s="1380">
        <f ca="1">MIN(W29,(W31*'Hipóteses xerais (2)'!$C$70))</f>
        <v>336.75122749590832</v>
      </c>
      <c r="X35" s="1380">
        <f ca="1">MIN(X29,(X31*'Hipóteses xerais (2)'!$C$70))</f>
        <v>174.90180032733221</v>
      </c>
      <c r="Y35" s="1380">
        <f ca="1">MIN(Y29,(Y31*'Hipóteses xerais (2)'!$C$70))</f>
        <v>102.6786688488816</v>
      </c>
      <c r="Z35" s="1378">
        <f ca="1">MIN(Z29,(Z31*'Hipóteses xerais (2)'!$C$70))</f>
        <v>388.96072013093288</v>
      </c>
      <c r="AA35" s="913">
        <f ca="1">SUM(B35:Z35)</f>
        <v>7443.333333333333</v>
      </c>
    </row>
    <row r="36" spans="1:27" x14ac:dyDescent="0.35">
      <c r="AA36" s="1379"/>
    </row>
    <row r="37" spans="1:27" x14ac:dyDescent="0.35">
      <c r="A37" s="877" t="s">
        <v>1196</v>
      </c>
      <c r="B37" s="1374">
        <f ca="1">(1-'Hipóteses xerais (2)'!$C$29)*B33</f>
        <v>0</v>
      </c>
      <c r="C37" s="1374">
        <f ca="1">(1-'Hipóteses xerais (2)'!$C$29)*C33</f>
        <v>0</v>
      </c>
      <c r="D37" s="1374">
        <f ca="1">(1-'Hipóteses xerais (2)'!$C$29)*D33</f>
        <v>0</v>
      </c>
      <c r="E37" s="1374">
        <f ca="1">(1-'Hipóteses xerais (2)'!$C$29)*E33</f>
        <v>0</v>
      </c>
      <c r="F37" s="1374">
        <f ca="1">(1-'Hipóteses xerais (2)'!$C$29)*F33</f>
        <v>0</v>
      </c>
      <c r="G37" s="1374">
        <f ca="1">(1-'Hipóteses xerais (2)'!$C$29)*G33</f>
        <v>0</v>
      </c>
      <c r="H37" s="1374">
        <f ca="1">(1-'Hipóteses xerais (2)'!$C$29)*H33</f>
        <v>0</v>
      </c>
      <c r="I37" s="1374">
        <f ca="1">(1-'Hipóteses xerais (2)'!$C$29)*I33</f>
        <v>0</v>
      </c>
      <c r="J37" s="1374">
        <f ca="1">(1-'Hipóteses xerais (2)'!$C$29)*J33</f>
        <v>0</v>
      </c>
      <c r="K37" s="1374">
        <f ca="1">(1-'Hipóteses xerais (2)'!$C$29)*K33</f>
        <v>0</v>
      </c>
      <c r="L37" s="1374">
        <f ca="1">(1-'Hipóteses xerais (2)'!$C$29)*L33</f>
        <v>0</v>
      </c>
      <c r="M37" s="1374">
        <f ca="1">(1-'Hipóteses xerais (2)'!$C$29)*M33</f>
        <v>0</v>
      </c>
      <c r="N37" s="1374">
        <f ca="1">(1-'Hipóteses xerais (2)'!$C$29)*N33</f>
        <v>0</v>
      </c>
      <c r="O37" s="1374">
        <f ca="1">(1-'Hipóteses xerais (2)'!$C$29)*O33</f>
        <v>0</v>
      </c>
      <c r="P37" s="1374">
        <f ca="1">(1-'Hipóteses xerais (2)'!$C$29)*P33</f>
        <v>0</v>
      </c>
      <c r="Q37" s="1374">
        <f ca="1">(1-'Hipóteses xerais (2)'!$C$29)*Q33</f>
        <v>0</v>
      </c>
      <c r="R37" s="1374">
        <f ca="1">(1-'Hipóteses xerais (2)'!$C$29)*R33</f>
        <v>0</v>
      </c>
      <c r="S37" s="1374">
        <f ca="1">(1-'Hipóteses xerais (2)'!$C$29)*S33</f>
        <v>0</v>
      </c>
      <c r="T37" s="1374">
        <f ca="1">(1-'Hipóteses xerais (2)'!$C$29)*T33</f>
        <v>0</v>
      </c>
      <c r="U37" s="1374">
        <f ca="1">(1-'Hipóteses xerais (2)'!$C$29)*U33</f>
        <v>0</v>
      </c>
      <c r="V37" s="1374">
        <f ca="1">(1-'Hipóteses xerais (2)'!$C$29)*V33</f>
        <v>0</v>
      </c>
      <c r="W37" s="1374">
        <f ca="1">(1-'Hipóteses xerais (2)'!$C$29)*W33</f>
        <v>0</v>
      </c>
      <c r="X37" s="1374">
        <f ca="1">(1-'Hipóteses xerais (2)'!$C$29)*X33</f>
        <v>0</v>
      </c>
      <c r="Y37" s="1374">
        <f ca="1">(1-'Hipóteses xerais (2)'!$C$29)*Y33</f>
        <v>0</v>
      </c>
      <c r="Z37" s="1374">
        <f ca="1">(1-'Hipóteses xerais (2)'!$C$29)*Z33</f>
        <v>0</v>
      </c>
      <c r="AA37" s="1378">
        <f ca="1">SUM(B37:Z37)</f>
        <v>0</v>
      </c>
    </row>
    <row r="38" spans="1:27" x14ac:dyDescent="0.35">
      <c r="A38" s="1104" t="s">
        <v>1195</v>
      </c>
      <c r="B38" s="1374">
        <f ca="1">'Hipóteses xerais (2)'!$C$29*B33</f>
        <v>44.378068739770868</v>
      </c>
      <c r="C38" s="1374">
        <f ca="1">'Hipóteses xerais (2)'!$C$29*C33</f>
        <v>175.3368794326241</v>
      </c>
      <c r="D38" s="1374">
        <f ca="1">'Hipóteses xerais (2)'!$C$29*D33</f>
        <v>215.79923622476812</v>
      </c>
      <c r="E38" s="1374">
        <f ca="1">'Hipóteses xerais (2)'!$C$29*E33</f>
        <v>189.25941080196398</v>
      </c>
      <c r="F38" s="1374">
        <f ca="1">'Hipóteses xerais (2)'!$C$29*F33</f>
        <v>123.99754500818331</v>
      </c>
      <c r="G38" s="1374">
        <f ca="1">'Hipóteses xerais (2)'!$C$29*G33</f>
        <v>107.89961811238406</v>
      </c>
      <c r="H38" s="1374">
        <f ca="1">'Hipóteses xerais (2)'!$C$29*H33</f>
        <v>96.587561374795413</v>
      </c>
      <c r="I38" s="1374">
        <f ca="1">'Hipóteses xerais (2)'!$C$29*I33</f>
        <v>224.06573922531368</v>
      </c>
      <c r="J38" s="1374">
        <f ca="1">'Hipóteses xerais (2)'!$C$29*J33</f>
        <v>118.34151663938898</v>
      </c>
      <c r="K38" s="1374">
        <f ca="1">'Hipóteses xerais (2)'!$C$29*K33</f>
        <v>198.39607201309329</v>
      </c>
      <c r="L38" s="1374">
        <f ca="1">'Hipóteses xerais (2)'!$C$29*L33</f>
        <v>134.43944353518819</v>
      </c>
      <c r="M38" s="1374">
        <f ca="1">'Hipóteses xerais (2)'!$C$29*M33</f>
        <v>207.09765411893071</v>
      </c>
      <c r="N38" s="1374">
        <f ca="1">'Hipóteses xerais (2)'!$C$29*N33</f>
        <v>197.09083469721767</v>
      </c>
      <c r="O38" s="1374">
        <f ca="1">'Hipóteses xerais (2)'!$C$29*O33</f>
        <v>120.08183306055645</v>
      </c>
      <c r="P38" s="1374">
        <f ca="1">'Hipóteses xerais (2)'!$C$29*P33</f>
        <v>135.7446808510638</v>
      </c>
      <c r="Q38" s="1374">
        <f ca="1">'Hipóteses xerais (2)'!$C$29*Q33</f>
        <v>157.49863611565738</v>
      </c>
      <c r="R38" s="1374">
        <f ca="1">'Hipóteses xerais (2)'!$C$29*R33</f>
        <v>224.93589743589743</v>
      </c>
      <c r="S38" s="1374">
        <f ca="1">'Hipóteses xerais (2)'!$C$29*S33</f>
        <v>132.69912711402074</v>
      </c>
      <c r="T38" s="1374">
        <f ca="1">'Hipóteses xerais (2)'!$C$29*T33</f>
        <v>182.7332242225859</v>
      </c>
      <c r="U38" s="1374">
        <f ca="1">'Hipóteses xerais (2)'!$C$29*U33</f>
        <v>175.77195853791599</v>
      </c>
      <c r="V38" s="1374">
        <f ca="1">'Hipóteses xerais (2)'!$C$29*V33</f>
        <v>57.86552100381887</v>
      </c>
      <c r="W38" s="1374">
        <f ca="1">'Hipóteses xerais (2)'!$C$29*W33</f>
        <v>168.37561374795416</v>
      </c>
      <c r="X38" s="1374">
        <f ca="1">'Hipóteses xerais (2)'!$C$29*X33</f>
        <v>87.450900163666105</v>
      </c>
      <c r="Y38" s="1374">
        <f ca="1">'Hipóteses xerais (2)'!$C$29*Y33</f>
        <v>51.3393344244408</v>
      </c>
      <c r="Z38" s="1374">
        <f ca="1">'Hipóteses xerais (2)'!$C$29*Z33</f>
        <v>194.48036006546644</v>
      </c>
      <c r="AA38" s="1378">
        <f ca="1">SUM(B38:Z38)</f>
        <v>3721.6666666666665</v>
      </c>
    </row>
    <row r="40" spans="1:27" x14ac:dyDescent="0.35">
      <c r="A40" s="1104" t="s">
        <v>1116</v>
      </c>
      <c r="B40" s="1377">
        <f t="shared" ref="B40:Z40" ca="1" si="5">B31-B32</f>
        <v>57.621931260229132</v>
      </c>
      <c r="C40" s="1376">
        <f t="shared" ca="1" si="5"/>
        <v>227.6631205673759</v>
      </c>
      <c r="D40" s="1376">
        <f t="shared" ca="1" si="5"/>
        <v>280.20076377523185</v>
      </c>
      <c r="E40" s="1376">
        <f t="shared" ca="1" si="5"/>
        <v>245.74058919803602</v>
      </c>
      <c r="F40" s="1376">
        <f t="shared" ca="1" si="5"/>
        <v>161.00245499181671</v>
      </c>
      <c r="G40" s="1376">
        <f t="shared" ca="1" si="5"/>
        <v>140.10038188761592</v>
      </c>
      <c r="H40" s="1376">
        <f t="shared" ca="1" si="5"/>
        <v>125.41243862520459</v>
      </c>
      <c r="I40" s="1376">
        <f t="shared" ca="1" si="5"/>
        <v>290.93426077468632</v>
      </c>
      <c r="J40" s="1376">
        <f t="shared" ca="1" si="5"/>
        <v>153.658483360611</v>
      </c>
      <c r="K40" s="1376">
        <f t="shared" ca="1" si="5"/>
        <v>257.60392798690668</v>
      </c>
      <c r="L40" s="1376">
        <f t="shared" ca="1" si="5"/>
        <v>174.56055646481181</v>
      </c>
      <c r="M40" s="1376">
        <f t="shared" ca="1" si="5"/>
        <v>268.90234588106932</v>
      </c>
      <c r="N40" s="1376">
        <f t="shared" ca="1" si="5"/>
        <v>255.90916530278233</v>
      </c>
      <c r="O40" s="1376">
        <f t="shared" ca="1" si="5"/>
        <v>155.91816693944355</v>
      </c>
      <c r="P40" s="1376">
        <f t="shared" ca="1" si="5"/>
        <v>176.2553191489362</v>
      </c>
      <c r="Q40" s="1376">
        <f t="shared" ca="1" si="5"/>
        <v>204.50136388434262</v>
      </c>
      <c r="R40" s="1376">
        <f t="shared" ca="1" si="5"/>
        <v>292.06410256410254</v>
      </c>
      <c r="S40" s="1376">
        <f t="shared" ca="1" si="5"/>
        <v>172.30087288597926</v>
      </c>
      <c r="T40" s="1376">
        <f t="shared" ca="1" si="5"/>
        <v>237.2667757774141</v>
      </c>
      <c r="U40" s="1376">
        <f t="shared" ca="1" si="5"/>
        <v>228.22804146208401</v>
      </c>
      <c r="V40" s="1376">
        <f t="shared" ca="1" si="5"/>
        <v>75.13447899618113</v>
      </c>
      <c r="W40" s="1376">
        <f t="shared" ca="1" si="5"/>
        <v>218.62438625204584</v>
      </c>
      <c r="X40" s="1376">
        <f t="shared" ca="1" si="5"/>
        <v>113.54909983633389</v>
      </c>
      <c r="Y40" s="1376">
        <f t="shared" ca="1" si="5"/>
        <v>66.660665575559193</v>
      </c>
      <c r="Z40" s="1375">
        <f t="shared" ca="1" si="5"/>
        <v>252.51963993453356</v>
      </c>
      <c r="AA40" s="913">
        <f ca="1">SUM(B40:Z40)</f>
        <v>4832.333333333333</v>
      </c>
    </row>
    <row r="43" spans="1:27" x14ac:dyDescent="0.35">
      <c r="A43" s="1104" t="s">
        <v>1194</v>
      </c>
      <c r="B43" s="1273">
        <f t="shared" ref="B43:AA43" ca="1" si="6">B31-B32-B40</f>
        <v>0</v>
      </c>
      <c r="C43" s="1270">
        <f t="shared" ca="1" si="6"/>
        <v>0</v>
      </c>
      <c r="D43" s="1270">
        <f t="shared" ca="1" si="6"/>
        <v>0</v>
      </c>
      <c r="E43" s="1270">
        <f t="shared" ca="1" si="6"/>
        <v>0</v>
      </c>
      <c r="F43" s="1270">
        <f t="shared" ca="1" si="6"/>
        <v>0</v>
      </c>
      <c r="G43" s="1270">
        <f t="shared" ca="1" si="6"/>
        <v>0</v>
      </c>
      <c r="H43" s="1270">
        <f t="shared" ca="1" si="6"/>
        <v>0</v>
      </c>
      <c r="I43" s="1270">
        <f t="shared" ca="1" si="6"/>
        <v>0</v>
      </c>
      <c r="J43" s="1270">
        <f t="shared" ca="1" si="6"/>
        <v>0</v>
      </c>
      <c r="K43" s="1270">
        <f t="shared" ca="1" si="6"/>
        <v>0</v>
      </c>
      <c r="L43" s="1270">
        <f t="shared" ca="1" si="6"/>
        <v>0</v>
      </c>
      <c r="M43" s="1270">
        <f t="shared" ca="1" si="6"/>
        <v>0</v>
      </c>
      <c r="N43" s="1270">
        <f t="shared" ca="1" si="6"/>
        <v>0</v>
      </c>
      <c r="O43" s="1270">
        <f t="shared" ca="1" si="6"/>
        <v>0</v>
      </c>
      <c r="P43" s="1270">
        <f t="shared" ca="1" si="6"/>
        <v>0</v>
      </c>
      <c r="Q43" s="1270">
        <f t="shared" ca="1" si="6"/>
        <v>0</v>
      </c>
      <c r="R43" s="1270">
        <f t="shared" ca="1" si="6"/>
        <v>0</v>
      </c>
      <c r="S43" s="1270">
        <f t="shared" ca="1" si="6"/>
        <v>0</v>
      </c>
      <c r="T43" s="1270">
        <f t="shared" ca="1" si="6"/>
        <v>0</v>
      </c>
      <c r="U43" s="1270">
        <f t="shared" ca="1" si="6"/>
        <v>0</v>
      </c>
      <c r="V43" s="1270">
        <f t="shared" ca="1" si="6"/>
        <v>0</v>
      </c>
      <c r="W43" s="1270">
        <f t="shared" ca="1" si="6"/>
        <v>0</v>
      </c>
      <c r="X43" s="1270">
        <f t="shared" ca="1" si="6"/>
        <v>0</v>
      </c>
      <c r="Y43" s="1270">
        <f t="shared" ca="1" si="6"/>
        <v>0</v>
      </c>
      <c r="Z43" s="1270">
        <f t="shared" ca="1" si="6"/>
        <v>0</v>
      </c>
      <c r="AA43" s="1374">
        <f t="shared" ca="1" si="6"/>
        <v>0</v>
      </c>
    </row>
    <row r="44" spans="1:27" ht="29" x14ac:dyDescent="0.35">
      <c r="A44" s="1173" t="s">
        <v>1193</v>
      </c>
      <c r="B44" s="1373">
        <f t="shared" ref="B44:AA44" ca="1" si="7">B29-B32-B37-B38-B34</f>
        <v>0</v>
      </c>
      <c r="C44" s="1372">
        <f t="shared" ca="1" si="7"/>
        <v>0</v>
      </c>
      <c r="D44" s="1372">
        <f t="shared" ca="1" si="7"/>
        <v>0</v>
      </c>
      <c r="E44" s="1372">
        <f t="shared" ca="1" si="7"/>
        <v>0</v>
      </c>
      <c r="F44" s="1372">
        <f t="shared" ca="1" si="7"/>
        <v>0</v>
      </c>
      <c r="G44" s="1372">
        <f t="shared" ca="1" si="7"/>
        <v>0</v>
      </c>
      <c r="H44" s="1372">
        <f t="shared" ca="1" si="7"/>
        <v>0</v>
      </c>
      <c r="I44" s="1372">
        <f t="shared" ca="1" si="7"/>
        <v>0</v>
      </c>
      <c r="J44" s="1372">
        <f t="shared" ca="1" si="7"/>
        <v>0</v>
      </c>
      <c r="K44" s="1372">
        <f t="shared" ca="1" si="7"/>
        <v>0</v>
      </c>
      <c r="L44" s="1372">
        <f t="shared" ca="1" si="7"/>
        <v>0</v>
      </c>
      <c r="M44" s="1372">
        <f t="shared" ca="1" si="7"/>
        <v>0</v>
      </c>
      <c r="N44" s="1372">
        <f t="shared" ca="1" si="7"/>
        <v>0</v>
      </c>
      <c r="O44" s="1372">
        <f t="shared" ca="1" si="7"/>
        <v>0</v>
      </c>
      <c r="P44" s="1372">
        <f t="shared" ca="1" si="7"/>
        <v>0</v>
      </c>
      <c r="Q44" s="1372">
        <f t="shared" ca="1" si="7"/>
        <v>0</v>
      </c>
      <c r="R44" s="1372">
        <f t="shared" ca="1" si="7"/>
        <v>0</v>
      </c>
      <c r="S44" s="1372">
        <f t="shared" ca="1" si="7"/>
        <v>0</v>
      </c>
      <c r="T44" s="1372">
        <f t="shared" ca="1" si="7"/>
        <v>0</v>
      </c>
      <c r="U44" s="1372">
        <f t="shared" ca="1" si="7"/>
        <v>0</v>
      </c>
      <c r="V44" s="1372">
        <f t="shared" ca="1" si="7"/>
        <v>0</v>
      </c>
      <c r="W44" s="1372">
        <f t="shared" ca="1" si="7"/>
        <v>0</v>
      </c>
      <c r="X44" s="1372">
        <f t="shared" ca="1" si="7"/>
        <v>0</v>
      </c>
      <c r="Y44" s="1372">
        <f t="shared" ca="1" si="7"/>
        <v>0</v>
      </c>
      <c r="Z44" s="1371">
        <f t="shared" ca="1" si="7"/>
        <v>0</v>
      </c>
      <c r="AA44" s="1275">
        <f t="shared" ca="1" si="7"/>
        <v>0</v>
      </c>
    </row>
  </sheetData>
  <conditionalFormatting sqref="B43:AA43">
    <cfRule type="cellIs" dxfId="1" priority="1" operator="equal">
      <formula>0</formula>
    </cfRule>
  </conditionalFormatting>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37244-EE24-4C70-A509-DFF189927921}">
  <dimension ref="A1:AA10"/>
  <sheetViews>
    <sheetView workbookViewId="0">
      <selection activeCell="F2" sqref="F2"/>
    </sheetView>
  </sheetViews>
  <sheetFormatPr baseColWidth="10" defaultColWidth="11.54296875" defaultRowHeight="14.5" x14ac:dyDescent="0.35"/>
  <cols>
    <col min="1" max="1" width="41.6328125" customWidth="1"/>
  </cols>
  <sheetData>
    <row r="1" spans="1:27" ht="29.5" thickBot="1" x14ac:dyDescent="0.4">
      <c r="A1" s="1343" t="s">
        <v>1156</v>
      </c>
      <c r="B1" s="1342">
        <v>1</v>
      </c>
      <c r="C1" s="1342">
        <v>2</v>
      </c>
      <c r="D1" s="1342">
        <v>3</v>
      </c>
      <c r="E1" s="1342">
        <v>4</v>
      </c>
      <c r="F1" s="1342">
        <v>5</v>
      </c>
      <c r="G1" s="1342">
        <v>6</v>
      </c>
      <c r="H1" s="1342">
        <v>7</v>
      </c>
      <c r="I1" s="1342">
        <v>8</v>
      </c>
      <c r="J1" s="1342">
        <v>9</v>
      </c>
      <c r="K1" s="1342">
        <v>10</v>
      </c>
      <c r="L1" s="1342">
        <v>11</v>
      </c>
      <c r="M1" s="1342">
        <v>12</v>
      </c>
      <c r="N1" s="1342">
        <v>13</v>
      </c>
      <c r="O1" s="1342">
        <v>14</v>
      </c>
      <c r="P1" s="1342">
        <v>15</v>
      </c>
      <c r="Q1" s="1342">
        <v>16</v>
      </c>
      <c r="R1" s="1342">
        <v>17</v>
      </c>
      <c r="S1" s="1342">
        <v>18</v>
      </c>
      <c r="T1" s="1342">
        <v>19</v>
      </c>
      <c r="U1" s="1342">
        <v>20</v>
      </c>
      <c r="V1" s="1342">
        <v>21</v>
      </c>
      <c r="W1" s="1342">
        <v>22</v>
      </c>
      <c r="X1" s="1342">
        <v>23</v>
      </c>
      <c r="Y1" s="1342">
        <v>24</v>
      </c>
      <c r="Z1" s="1342">
        <v>25</v>
      </c>
      <c r="AA1" s="1341" t="s">
        <v>1184</v>
      </c>
    </row>
    <row r="2" spans="1:27" x14ac:dyDescent="0.35">
      <c r="A2" s="65" t="s">
        <v>568</v>
      </c>
    </row>
    <row r="3" spans="1:27" x14ac:dyDescent="0.35">
      <c r="A3" s="778" t="s">
        <v>1183</v>
      </c>
      <c r="B3" s="1027">
        <f ca="1">'Factura Socios Con CE (2)'!B17-'Factura Socios Sen CE (2)'!B17</f>
        <v>-5.3965950490998331</v>
      </c>
      <c r="C3" s="1027">
        <f ca="1">'Factura Socios Con CE (2)'!C17-'Factura Socios Sen CE (2)'!C17</f>
        <v>-21.321841223404263</v>
      </c>
      <c r="D3" s="1027">
        <f ca="1">'Factura Socios Con CE (2)'!D17-'Factura Socios Sen CE (2)'!D17</f>
        <v>-26.242266121112934</v>
      </c>
      <c r="E3" s="1027">
        <f ca="1">'Factura Socios Con CE (2)'!E17-'Factura Socios Sen CE (2)'!E17</f>
        <v>-23.014890650572809</v>
      </c>
      <c r="F3" s="1027">
        <f ca="1">'Factura Socios Con CE (2)'!F17-'Factura Socios Sen CE (2)'!F17</f>
        <v>-15.078721460720125</v>
      </c>
      <c r="G3" s="1027">
        <f ca="1">'Factura Socios Con CE (2)'!G17-'Factura Socios Sen CE (2)'!G17</f>
        <v>-13.121133060556467</v>
      </c>
      <c r="H3" s="1027">
        <f ca="1">'Factura Socios Con CE (2)'!H17-'Factura Socios Sen CE (2)'!H17</f>
        <v>-11.745530400981998</v>
      </c>
      <c r="I3" s="1027">
        <f ca="1">'Factura Socios Con CE (2)'!I17-'Factura Socios Sen CE (2)'!I17</f>
        <v>-27.247514218494267</v>
      </c>
      <c r="J3" s="1027">
        <f ca="1">'Factura Socios Con CE (2)'!J17-'Factura Socios Sen CE (2)'!J17</f>
        <v>-14.390920130932905</v>
      </c>
      <c r="K3" s="1027">
        <f ca="1">'Factura Socios Con CE (2)'!K17-'Factura Socios Sen CE (2)'!K17</f>
        <v>-24.125954337152216</v>
      </c>
      <c r="L3" s="1027">
        <f ca="1">'Factura Socios Con CE (2)'!L17-'Factura Socios Sen CE (2)'!L17</f>
        <v>-16.34850853109657</v>
      </c>
      <c r="M3" s="1027">
        <f ca="1">'Factura Socios Con CE (2)'!M17-'Factura Socios Sen CE (2)'!M17</f>
        <v>-25.184110229132578</v>
      </c>
      <c r="N3" s="1027">
        <f ca="1">'Factura Socios Con CE (2)'!N17-'Factura Socios Sen CE (2)'!N17</f>
        <v>-23.967230953355156</v>
      </c>
      <c r="O3" s="1027">
        <f ca="1">'Factura Socios Con CE (2)'!O17-'Factura Socios Sen CE (2)'!O17</f>
        <v>-14.60255130932898</v>
      </c>
      <c r="P3" s="1027">
        <f ca="1">'Factura Socios Con CE (2)'!P17-'Factura Socios Sen CE (2)'!P17</f>
        <v>-16.507231914893616</v>
      </c>
      <c r="Q3" s="1027">
        <f ca="1">'Factura Socios Con CE (2)'!Q17-'Factura Socios Sen CE (2)'!Q17</f>
        <v>-19.152621644844515</v>
      </c>
      <c r="R3" s="1027">
        <f ca="1">'Factura Socios Con CE (2)'!R17-'Factura Socios Sen CE (2)'!R17</f>
        <v>-27.353329807692305</v>
      </c>
      <c r="S3" s="1027">
        <f ca="1">'Factura Socios Con CE (2)'!S17-'Factura Socios Sen CE (2)'!S17</f>
        <v>-16.136877352700495</v>
      </c>
      <c r="T3" s="1027">
        <f ca="1">'Factura Socios Con CE (2)'!T17-'Factura Socios Sen CE (2)'!T17</f>
        <v>-22.221273731587544</v>
      </c>
      <c r="U3" s="1027">
        <f ca="1">'Factura Socios Con CE (2)'!U17-'Factura Socios Sen CE (2)'!U17</f>
        <v>-21.374749018003286</v>
      </c>
      <c r="V3" s="1027">
        <f ca="1">'Factura Socios Con CE (2)'!V17-'Factura Socios Sen CE (2)'!V17</f>
        <v>-7.0367366816693924</v>
      </c>
      <c r="W3" s="1027">
        <f ca="1">'Factura Socios Con CE (2)'!W17-'Factura Socios Sen CE (2)'!W17</f>
        <v>-20.475316509819955</v>
      </c>
      <c r="X3" s="1027">
        <f ca="1">'Factura Socios Con CE (2)'!X17-'Factura Socios Sen CE (2)'!X17</f>
        <v>-10.634466714402627</v>
      </c>
      <c r="Y3" s="1027">
        <f ca="1">'Factura Socios Con CE (2)'!Y17-'Factura Socios Sen CE (2)'!Y17</f>
        <v>-6.2431197626841239</v>
      </c>
      <c r="Z3" s="1027">
        <f ca="1">'Factura Socios Con CE (2)'!Z17-'Factura Socios Sen CE (2)'!Z17</f>
        <v>-23.649784185761042</v>
      </c>
      <c r="AA3" s="1105">
        <f ca="1">SUM(B3:Z3)</f>
        <v>-452.57327500000002</v>
      </c>
    </row>
    <row r="4" spans="1:27" x14ac:dyDescent="0.35">
      <c r="A4" s="1340" t="s">
        <v>1182</v>
      </c>
    </row>
    <row r="6" spans="1:27" ht="29" x14ac:dyDescent="0.35">
      <c r="A6" s="1339" t="s">
        <v>1181</v>
      </c>
      <c r="B6" s="1338">
        <f ca="1">'Factura Socios Con CE (2)'!B21</f>
        <v>2.2189034369885436</v>
      </c>
      <c r="C6" s="1337">
        <f ca="1">'Factura Socios Con CE (2)'!C21</f>
        <v>8.7668439716312054</v>
      </c>
      <c r="D6" s="1337">
        <f ca="1">'Factura Socios Con CE (2)'!D21</f>
        <v>10.789961811238406</v>
      </c>
      <c r="E6" s="1337">
        <f ca="1">'Factura Socios Con CE (2)'!E21</f>
        <v>9.4629705400981976</v>
      </c>
      <c r="F6" s="1337">
        <f ca="1">'Factura Socios Con CE (2)'!F21</f>
        <v>6.1998772504091662</v>
      </c>
      <c r="G6" s="1337">
        <f ca="1">'Factura Socios Con CE (2)'!G21</f>
        <v>5.3949809056192031</v>
      </c>
      <c r="H6" s="1337">
        <f ca="1">'Factura Socios Con CE (2)'!H21</f>
        <v>4.8293780687397705</v>
      </c>
      <c r="I6" s="1337">
        <f ca="1">'Factura Socios Con CE (2)'!I21</f>
        <v>11.203286961265682</v>
      </c>
      <c r="J6" s="1337">
        <f ca="1">'Factura Socios Con CE (2)'!J21</f>
        <v>5.9170758319694494</v>
      </c>
      <c r="K6" s="1337">
        <f ca="1">'Factura Socios Con CE (2)'!K21</f>
        <v>9.9198036006546637</v>
      </c>
      <c r="L6" s="1337">
        <f ca="1">'Factura Socios Con CE (2)'!L21</f>
        <v>6.7219721767594089</v>
      </c>
      <c r="M6" s="1337">
        <f ca="1">'Factura Socios Con CE (2)'!M21</f>
        <v>10.354882705946535</v>
      </c>
      <c r="N6" s="1337">
        <f ca="1">'Factura Socios Con CE (2)'!N21</f>
        <v>9.8545417348608844</v>
      </c>
      <c r="O6" s="1337">
        <f ca="1">'Factura Socios Con CE (2)'!O21</f>
        <v>6.0040916530278228</v>
      </c>
      <c r="P6" s="1337">
        <f ca="1">'Factura Socios Con CE (2)'!P21</f>
        <v>6.7872340425531901</v>
      </c>
      <c r="Q6" s="1337">
        <f ca="1">'Factura Socios Con CE (2)'!Q21</f>
        <v>7.874931805782869</v>
      </c>
      <c r="R6" s="1337">
        <f ca="1">'Factura Socios Con CE (2)'!R21</f>
        <v>11.24679487179487</v>
      </c>
      <c r="S6" s="1337">
        <f ca="1">'Factura Socios Con CE (2)'!S21</f>
        <v>6.6349563557010374</v>
      </c>
      <c r="T6" s="1337">
        <f ca="1">'Factura Socios Con CE (2)'!T21</f>
        <v>9.1366612111292937</v>
      </c>
      <c r="U6" s="1337">
        <f ca="1">'Factura Socios Con CE (2)'!U21</f>
        <v>8.7885979268958003</v>
      </c>
      <c r="V6" s="1337">
        <f ca="1">'Factura Socios Con CE (2)'!V21</f>
        <v>2.8932760501909431</v>
      </c>
      <c r="W6" s="1337">
        <f ca="1">'Factura Socios Con CE (2)'!W21</f>
        <v>8.4187806873977085</v>
      </c>
      <c r="X6" s="1337">
        <f ca="1">'Factura Socios Con CE (2)'!X21</f>
        <v>4.3725450081833053</v>
      </c>
      <c r="Y6" s="1337">
        <f ca="1">'Factura Socios Con CE (2)'!Y21</f>
        <v>2.5669667212220402</v>
      </c>
      <c r="Z6" s="1336">
        <f ca="1">'Factura Socios Con CE (2)'!Z21</f>
        <v>9.7240180032733221</v>
      </c>
      <c r="AA6" s="1074">
        <f ca="1">SUM(B6:Z6)</f>
        <v>186.08333333333331</v>
      </c>
    </row>
    <row r="7" spans="1:27" ht="29" x14ac:dyDescent="0.35">
      <c r="A7" s="1051" t="s">
        <v>1180</v>
      </c>
      <c r="B7" s="1328">
        <f ca="1">'Factura Socios Con CE (2)'!B22</f>
        <v>0</v>
      </c>
      <c r="C7" s="1327">
        <f ca="1">'Factura Socios Con CE (2)'!C22</f>
        <v>0</v>
      </c>
      <c r="D7" s="1327">
        <f ca="1">'Factura Socios Con CE (2)'!D22</f>
        <v>0</v>
      </c>
      <c r="E7" s="1327">
        <f ca="1">'Factura Socios Con CE (2)'!E22</f>
        <v>0</v>
      </c>
      <c r="F7" s="1327">
        <f ca="1">'Factura Socios Con CE (2)'!F22</f>
        <v>0</v>
      </c>
      <c r="G7" s="1327">
        <f ca="1">'Factura Socios Con CE (2)'!G22</f>
        <v>0</v>
      </c>
      <c r="H7" s="1327">
        <f ca="1">'Factura Socios Con CE (2)'!H22</f>
        <v>0</v>
      </c>
      <c r="I7" s="1327">
        <f ca="1">'Factura Socios Con CE (2)'!I22</f>
        <v>0</v>
      </c>
      <c r="J7" s="1327">
        <f ca="1">'Factura Socios Con CE (2)'!J22</f>
        <v>0</v>
      </c>
      <c r="K7" s="1327">
        <f ca="1">'Factura Socios Con CE (2)'!K22</f>
        <v>0</v>
      </c>
      <c r="L7" s="1327">
        <f ca="1">'Factura Socios Con CE (2)'!L22</f>
        <v>0</v>
      </c>
      <c r="M7" s="1327">
        <f ca="1">'Factura Socios Con CE (2)'!M22</f>
        <v>0</v>
      </c>
      <c r="N7" s="1327">
        <f ca="1">'Factura Socios Con CE (2)'!N22</f>
        <v>0</v>
      </c>
      <c r="O7" s="1327">
        <f ca="1">'Factura Socios Con CE (2)'!O22</f>
        <v>0</v>
      </c>
      <c r="P7" s="1327">
        <f ca="1">'Factura Socios Con CE (2)'!P22</f>
        <v>0</v>
      </c>
      <c r="Q7" s="1327">
        <f ca="1">'Factura Socios Con CE (2)'!Q22</f>
        <v>0</v>
      </c>
      <c r="R7" s="1327">
        <f ca="1">'Factura Socios Con CE (2)'!R22</f>
        <v>0</v>
      </c>
      <c r="S7" s="1327">
        <f ca="1">'Factura Socios Con CE (2)'!S22</f>
        <v>0</v>
      </c>
      <c r="T7" s="1327">
        <f ca="1">'Factura Socios Con CE (2)'!T22</f>
        <v>0</v>
      </c>
      <c r="U7" s="1327">
        <f ca="1">'Factura Socios Con CE (2)'!U22</f>
        <v>0</v>
      </c>
      <c r="V7" s="1327">
        <f ca="1">'Factura Socios Con CE (2)'!V22</f>
        <v>0</v>
      </c>
      <c r="W7" s="1327">
        <f ca="1">'Factura Socios Con CE (2)'!W22</f>
        <v>0</v>
      </c>
      <c r="X7" s="1327">
        <f ca="1">'Factura Socios Con CE (2)'!X22</f>
        <v>0</v>
      </c>
      <c r="Y7" s="1327">
        <f ca="1">'Factura Socios Con CE (2)'!Y22</f>
        <v>0</v>
      </c>
      <c r="Z7" s="1326">
        <f ca="1">'Factura Socios Con CE (2)'!Z22</f>
        <v>0</v>
      </c>
      <c r="AA7" s="1074">
        <f ca="1">SUM(B7:Z7)</f>
        <v>0</v>
      </c>
    </row>
    <row r="8" spans="1:27" ht="15" thickBot="1" x14ac:dyDescent="0.4"/>
    <row r="9" spans="1:27" ht="15" thickBot="1" x14ac:dyDescent="0.4">
      <c r="A9" s="1405" t="s">
        <v>1199</v>
      </c>
      <c r="B9" s="1404">
        <f t="shared" ref="B9:Z9" ca="1" si="0">IF(B7=0,B6-B3,B7-B3)</f>
        <v>7.6154984860883772</v>
      </c>
      <c r="C9" s="1403">
        <f t="shared" ca="1" si="0"/>
        <v>30.088685195035467</v>
      </c>
      <c r="D9" s="1403">
        <f t="shared" ca="1" si="0"/>
        <v>37.03222793235134</v>
      </c>
      <c r="E9" s="1403">
        <f t="shared" ca="1" si="0"/>
        <v>32.477861190671007</v>
      </c>
      <c r="F9" s="1403">
        <f t="shared" ca="1" si="0"/>
        <v>21.278598711129291</v>
      </c>
      <c r="G9" s="1403">
        <f t="shared" ca="1" si="0"/>
        <v>18.51611396617567</v>
      </c>
      <c r="H9" s="1403">
        <f t="shared" ca="1" si="0"/>
        <v>16.57490846972177</v>
      </c>
      <c r="I9" s="1403">
        <f t="shared" ca="1" si="0"/>
        <v>38.450801179759949</v>
      </c>
      <c r="J9" s="1403">
        <f t="shared" ca="1" si="0"/>
        <v>20.307995962902353</v>
      </c>
      <c r="K9" s="1403">
        <f t="shared" ca="1" si="0"/>
        <v>34.045757937806883</v>
      </c>
      <c r="L9" s="1403">
        <f t="shared" ca="1" si="0"/>
        <v>23.070480707855978</v>
      </c>
      <c r="M9" s="1403">
        <f t="shared" ca="1" si="0"/>
        <v>35.538992935079115</v>
      </c>
      <c r="N9" s="1403">
        <f t="shared" ca="1" si="0"/>
        <v>33.821772688216043</v>
      </c>
      <c r="O9" s="1403">
        <f t="shared" ca="1" si="0"/>
        <v>20.606642962356801</v>
      </c>
      <c r="P9" s="1403">
        <f t="shared" ca="1" si="0"/>
        <v>23.294465957446807</v>
      </c>
      <c r="Q9" s="1403">
        <f t="shared" ca="1" si="0"/>
        <v>27.027553450627384</v>
      </c>
      <c r="R9" s="1403">
        <f t="shared" ca="1" si="0"/>
        <v>38.600124679487173</v>
      </c>
      <c r="S9" s="1403">
        <f t="shared" ca="1" si="0"/>
        <v>22.77183370840153</v>
      </c>
      <c r="T9" s="1403">
        <f t="shared" ca="1" si="0"/>
        <v>31.357934942716838</v>
      </c>
      <c r="U9" s="1403">
        <f t="shared" ca="1" si="0"/>
        <v>30.163346944899086</v>
      </c>
      <c r="V9" s="1403">
        <f t="shared" ca="1" si="0"/>
        <v>9.9300127318603355</v>
      </c>
      <c r="W9" s="1403">
        <f t="shared" ca="1" si="0"/>
        <v>28.894097197217661</v>
      </c>
      <c r="X9" s="1403">
        <f t="shared" ca="1" si="0"/>
        <v>15.007011722585933</v>
      </c>
      <c r="Y9" s="1403">
        <f t="shared" ca="1" si="0"/>
        <v>8.810086483906165</v>
      </c>
      <c r="Z9" s="1402">
        <f t="shared" ca="1" si="0"/>
        <v>33.373802189034365</v>
      </c>
      <c r="AA9" s="1259">
        <f ca="1">SUM(B9:Z9)</f>
        <v>638.65660833333322</v>
      </c>
    </row>
    <row r="10" spans="1:27" ht="44" thickBot="1" x14ac:dyDescent="0.4">
      <c r="A10" s="1401" t="s">
        <v>1191</v>
      </c>
    </row>
  </sheetData>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B1FE5-CBB9-4688-A67B-7C7D92D200AD}">
  <dimension ref="A1:AA14"/>
  <sheetViews>
    <sheetView topLeftCell="A4" workbookViewId="0">
      <selection activeCell="F2" sqref="F2"/>
    </sheetView>
  </sheetViews>
  <sheetFormatPr baseColWidth="10" defaultColWidth="11.54296875" defaultRowHeight="14.5" x14ac:dyDescent="0.35"/>
  <cols>
    <col min="1" max="1" width="43.6328125" customWidth="1"/>
  </cols>
  <sheetData>
    <row r="1" spans="1:27" ht="29.5" thickBot="1" x14ac:dyDescent="0.4">
      <c r="A1" s="1343" t="s">
        <v>1156</v>
      </c>
      <c r="B1" s="1342">
        <v>1</v>
      </c>
      <c r="C1" s="1342">
        <v>2</v>
      </c>
      <c r="D1" s="1342">
        <v>3</v>
      </c>
      <c r="E1" s="1342">
        <v>4</v>
      </c>
      <c r="F1" s="1342">
        <v>5</v>
      </c>
      <c r="G1" s="1342">
        <v>6</v>
      </c>
      <c r="H1" s="1342">
        <v>7</v>
      </c>
      <c r="I1" s="1342">
        <v>8</v>
      </c>
      <c r="J1" s="1342">
        <v>9</v>
      </c>
      <c r="K1" s="1342">
        <v>10</v>
      </c>
      <c r="L1" s="1342">
        <v>11</v>
      </c>
      <c r="M1" s="1342">
        <v>12</v>
      </c>
      <c r="N1" s="1342">
        <v>13</v>
      </c>
      <c r="O1" s="1342">
        <v>14</v>
      </c>
      <c r="P1" s="1342">
        <v>15</v>
      </c>
      <c r="Q1" s="1342">
        <v>16</v>
      </c>
      <c r="R1" s="1342">
        <v>17</v>
      </c>
      <c r="S1" s="1342">
        <v>18</v>
      </c>
      <c r="T1" s="1342">
        <v>19</v>
      </c>
      <c r="U1" s="1342">
        <v>20</v>
      </c>
      <c r="V1" s="1342">
        <v>21</v>
      </c>
      <c r="W1" s="1342">
        <v>22</v>
      </c>
      <c r="X1" s="1342">
        <v>23</v>
      </c>
      <c r="Y1" s="1342">
        <v>24</v>
      </c>
      <c r="Z1" s="1342">
        <v>25</v>
      </c>
      <c r="AA1" s="1341" t="s">
        <v>1184</v>
      </c>
    </row>
    <row r="2" spans="1:27" ht="15" thickBot="1" x14ac:dyDescent="0.4">
      <c r="A2" s="65" t="s">
        <v>568</v>
      </c>
    </row>
    <row r="3" spans="1:27" ht="15" thickBot="1" x14ac:dyDescent="0.4">
      <c r="A3" s="1409" t="s">
        <v>1200</v>
      </c>
      <c r="B3" s="1408">
        <f ca="1">'Ingresos Socios (2)'!B9</f>
        <v>7.6154984860883772</v>
      </c>
      <c r="C3" s="1407">
        <f ca="1">'Ingresos Socios (2)'!C9</f>
        <v>30.088685195035467</v>
      </c>
      <c r="D3" s="1407">
        <f ca="1">'Ingresos Socios (2)'!D9</f>
        <v>37.03222793235134</v>
      </c>
      <c r="E3" s="1407">
        <f ca="1">'Ingresos Socios (2)'!E9</f>
        <v>32.477861190671007</v>
      </c>
      <c r="F3" s="1407">
        <f ca="1">'Ingresos Socios (2)'!F9</f>
        <v>21.278598711129291</v>
      </c>
      <c r="G3" s="1407">
        <f ca="1">'Ingresos Socios (2)'!G9</f>
        <v>18.51611396617567</v>
      </c>
      <c r="H3" s="1407">
        <f ca="1">'Ingresos Socios (2)'!H9</f>
        <v>16.57490846972177</v>
      </c>
      <c r="I3" s="1407">
        <f ca="1">'Ingresos Socios (2)'!I9</f>
        <v>38.450801179759949</v>
      </c>
      <c r="J3" s="1407">
        <f ca="1">'Ingresos Socios (2)'!J9</f>
        <v>20.307995962902353</v>
      </c>
      <c r="K3" s="1407">
        <f ca="1">'Ingresos Socios (2)'!K9</f>
        <v>34.045757937806883</v>
      </c>
      <c r="L3" s="1407">
        <f ca="1">'Ingresos Socios (2)'!L9</f>
        <v>23.070480707855978</v>
      </c>
      <c r="M3" s="1407">
        <f ca="1">'Ingresos Socios (2)'!M9</f>
        <v>35.538992935079115</v>
      </c>
      <c r="N3" s="1407">
        <f ca="1">'Ingresos Socios (2)'!N9</f>
        <v>33.821772688216043</v>
      </c>
      <c r="O3" s="1407">
        <f ca="1">'Ingresos Socios (2)'!O9</f>
        <v>20.606642962356801</v>
      </c>
      <c r="P3" s="1407">
        <f ca="1">'Ingresos Socios (2)'!P9</f>
        <v>23.294465957446807</v>
      </c>
      <c r="Q3" s="1407">
        <f ca="1">'Ingresos Socios (2)'!Q9</f>
        <v>27.027553450627384</v>
      </c>
      <c r="R3" s="1407">
        <f ca="1">'Ingresos Socios (2)'!R9</f>
        <v>38.600124679487173</v>
      </c>
      <c r="S3" s="1407">
        <f ca="1">'Ingresos Socios (2)'!S9</f>
        <v>22.77183370840153</v>
      </c>
      <c r="T3" s="1407">
        <f ca="1">'Ingresos Socios (2)'!T9</f>
        <v>31.357934942716838</v>
      </c>
      <c r="U3" s="1407">
        <f ca="1">'Ingresos Socios (2)'!U9</f>
        <v>30.163346944899086</v>
      </c>
      <c r="V3" s="1407">
        <f ca="1">'Ingresos Socios (2)'!V9</f>
        <v>9.9300127318603355</v>
      </c>
      <c r="W3" s="1407">
        <f ca="1">'Ingresos Socios (2)'!W9</f>
        <v>28.894097197217661</v>
      </c>
      <c r="X3" s="1407">
        <f ca="1">'Ingresos Socios (2)'!X9</f>
        <v>15.007011722585933</v>
      </c>
      <c r="Y3" s="1407">
        <f ca="1">'Ingresos Socios (2)'!Y9</f>
        <v>8.810086483906165</v>
      </c>
      <c r="Z3" s="1160">
        <f ca="1">'Ingresos Socios (2)'!Z9</f>
        <v>33.373802189034365</v>
      </c>
      <c r="AA3" s="1264">
        <f ca="1">SUM(B3:Z3)</f>
        <v>638.65660833333322</v>
      </c>
    </row>
    <row r="4" spans="1:27" ht="29.5" thickBot="1" x14ac:dyDescent="0.4">
      <c r="A4" s="627" t="s">
        <v>1191</v>
      </c>
    </row>
    <row r="5" spans="1:27" ht="15" thickBot="1" x14ac:dyDescent="0.4"/>
    <row r="6" spans="1:27" x14ac:dyDescent="0.35">
      <c r="A6" s="786" t="s">
        <v>1190</v>
      </c>
      <c r="B6" s="1364">
        <f>'Hipóteses xerais (2)'!$F$40</f>
        <v>0</v>
      </c>
      <c r="C6" s="1364">
        <f>'Hipóteses xerais (2)'!$F$40</f>
        <v>0</v>
      </c>
      <c r="D6" s="1364">
        <f>'Hipóteses xerais (2)'!$F$40</f>
        <v>0</v>
      </c>
      <c r="E6" s="1364">
        <f>'Hipóteses xerais (2)'!$F$40</f>
        <v>0</v>
      </c>
      <c r="F6" s="1364">
        <f>'Hipóteses xerais (2)'!$F$40</f>
        <v>0</v>
      </c>
      <c r="G6" s="1364">
        <f>'Hipóteses xerais (2)'!$F$40</f>
        <v>0</v>
      </c>
      <c r="H6" s="1364">
        <f>'Hipóteses xerais (2)'!$F$40</f>
        <v>0</v>
      </c>
      <c r="I6" s="1364">
        <f>'Hipóteses xerais (2)'!$F$40</f>
        <v>0</v>
      </c>
      <c r="J6" s="1364">
        <f>'Hipóteses xerais (2)'!$F$40</f>
        <v>0</v>
      </c>
      <c r="K6" s="1364">
        <f>'Hipóteses xerais (2)'!$F$40</f>
        <v>0</v>
      </c>
      <c r="L6" s="1364">
        <f>'Hipóteses xerais (2)'!$F$40</f>
        <v>0</v>
      </c>
      <c r="M6" s="1364">
        <f>'Hipóteses xerais (2)'!$F$40</f>
        <v>0</v>
      </c>
      <c r="N6" s="1364">
        <f>'Hipóteses xerais (2)'!$F$40</f>
        <v>0</v>
      </c>
      <c r="O6" s="1364">
        <f>'Hipóteses xerais (2)'!$F$40</f>
        <v>0</v>
      </c>
      <c r="P6" s="1364">
        <f>'Hipóteses xerais (2)'!$F$40</f>
        <v>0</v>
      </c>
      <c r="Q6" s="1364">
        <f>'Hipóteses xerais (2)'!$F$40</f>
        <v>0</v>
      </c>
      <c r="R6" s="1364">
        <f>'Hipóteses xerais (2)'!$F$40</f>
        <v>0</v>
      </c>
      <c r="S6" s="1364">
        <f>'Hipóteses xerais (2)'!$F$40</f>
        <v>0</v>
      </c>
      <c r="T6" s="1364">
        <f>'Hipóteses xerais (2)'!$F$40</f>
        <v>0</v>
      </c>
      <c r="U6" s="1364">
        <f>'Hipóteses xerais (2)'!$F$40</f>
        <v>0</v>
      </c>
      <c r="V6" s="1364">
        <f>'Hipóteses xerais (2)'!$F$40</f>
        <v>0</v>
      </c>
      <c r="W6" s="1364">
        <f>'Hipóteses xerais (2)'!$F$40</f>
        <v>0</v>
      </c>
      <c r="X6" s="1364">
        <f>'Hipóteses xerais (2)'!$F$40</f>
        <v>0</v>
      </c>
      <c r="Y6" s="878">
        <f>'Hipóteses xerais (2)'!$F$40</f>
        <v>0</v>
      </c>
      <c r="Z6" s="1032">
        <f>'Hipóteses xerais (2)'!$F$40</f>
        <v>0</v>
      </c>
      <c r="AA6" s="1363">
        <f>SUM(B6:Z6)</f>
        <v>0</v>
      </c>
    </row>
    <row r="7" spans="1:27" x14ac:dyDescent="0.35">
      <c r="A7" s="779" t="s">
        <v>1189</v>
      </c>
      <c r="B7" s="1105">
        <f>'Hipóteses xerais (2)'!$F$41</f>
        <v>8.2348999999999997</v>
      </c>
      <c r="C7" s="1105">
        <f>'Hipóteses xerais (2)'!$F$41</f>
        <v>8.2348999999999997</v>
      </c>
      <c r="D7" s="1105">
        <f>'Hipóteses xerais (2)'!$F$41</f>
        <v>8.2348999999999997</v>
      </c>
      <c r="E7" s="1105">
        <f>'Hipóteses xerais (2)'!$F$41</f>
        <v>8.2348999999999997</v>
      </c>
      <c r="F7" s="1105">
        <f>'Hipóteses xerais (2)'!$F$41</f>
        <v>8.2348999999999997</v>
      </c>
      <c r="G7" s="1105">
        <f>'Hipóteses xerais (2)'!$F$41</f>
        <v>8.2348999999999997</v>
      </c>
      <c r="H7" s="1105">
        <f>'Hipóteses xerais (2)'!$F$41</f>
        <v>8.2348999999999997</v>
      </c>
      <c r="I7" s="1105">
        <f>'Hipóteses xerais (2)'!$F$41</f>
        <v>8.2348999999999997</v>
      </c>
      <c r="J7" s="1105">
        <f>'Hipóteses xerais (2)'!$F$41</f>
        <v>8.2348999999999997</v>
      </c>
      <c r="K7" s="1105">
        <f>'Hipóteses xerais (2)'!$F$41</f>
        <v>8.2348999999999997</v>
      </c>
      <c r="L7" s="1105">
        <f>'Hipóteses xerais (2)'!$F$41</f>
        <v>8.2348999999999997</v>
      </c>
      <c r="M7" s="1105">
        <f>'Hipóteses xerais (2)'!$F$41</f>
        <v>8.2348999999999997</v>
      </c>
      <c r="N7" s="1105">
        <f>'Hipóteses xerais (2)'!$F$41</f>
        <v>8.2348999999999997</v>
      </c>
      <c r="O7" s="1105">
        <f>'Hipóteses xerais (2)'!$F$41</f>
        <v>8.2348999999999997</v>
      </c>
      <c r="P7" s="1105">
        <f>'Hipóteses xerais (2)'!$F$41</f>
        <v>8.2348999999999997</v>
      </c>
      <c r="Q7" s="1105">
        <f>'Hipóteses xerais (2)'!$F$41</f>
        <v>8.2348999999999997</v>
      </c>
      <c r="R7" s="1105">
        <f>'Hipóteses xerais (2)'!$F$41</f>
        <v>8.2348999999999997</v>
      </c>
      <c r="S7" s="1105">
        <f>'Hipóteses xerais (2)'!$F$41</f>
        <v>8.2348999999999997</v>
      </c>
      <c r="T7" s="1105">
        <f>'Hipóteses xerais (2)'!$F$41</f>
        <v>8.2348999999999997</v>
      </c>
      <c r="U7" s="1105">
        <f>'Hipóteses xerais (2)'!$F$41</f>
        <v>8.2348999999999997</v>
      </c>
      <c r="V7" s="1105">
        <f>'Hipóteses xerais (2)'!$F$41</f>
        <v>8.2348999999999997</v>
      </c>
      <c r="W7" s="1105">
        <f>'Hipóteses xerais (2)'!$F$41</f>
        <v>8.2348999999999997</v>
      </c>
      <c r="X7" s="1105">
        <f>'Hipóteses xerais (2)'!$F$41</f>
        <v>8.2348999999999997</v>
      </c>
      <c r="Y7" s="1362">
        <f>'Hipóteses xerais (2)'!$F$41</f>
        <v>8.2348999999999997</v>
      </c>
      <c r="Z7" s="1028">
        <f>'Hipóteses xerais (2)'!$F$41</f>
        <v>8.2348999999999997</v>
      </c>
      <c r="AA7" s="1361">
        <f>SUM(B7:Z7)</f>
        <v>205.87250000000006</v>
      </c>
    </row>
    <row r="8" spans="1:27" s="10" customFormat="1" ht="29.5" thickBot="1" x14ac:dyDescent="0.4">
      <c r="A8" s="1149" t="s">
        <v>1188</v>
      </c>
      <c r="B8" s="1360">
        <f>'Hipóteses xerais (2)'!$F$42</f>
        <v>0</v>
      </c>
      <c r="C8" s="1360">
        <f>'Hipóteses xerais (2)'!$F$42</f>
        <v>0</v>
      </c>
      <c r="D8" s="1360">
        <f>'Hipóteses xerais (2)'!$F$42</f>
        <v>0</v>
      </c>
      <c r="E8" s="1360">
        <f>'Hipóteses xerais (2)'!$F$42</f>
        <v>0</v>
      </c>
      <c r="F8" s="1360">
        <f>'Hipóteses xerais (2)'!$F$42</f>
        <v>0</v>
      </c>
      <c r="G8" s="1360">
        <f>'Hipóteses xerais (2)'!$F$42</f>
        <v>0</v>
      </c>
      <c r="H8" s="1360">
        <f>'Hipóteses xerais (2)'!$F$42</f>
        <v>0</v>
      </c>
      <c r="I8" s="1360">
        <f>'Hipóteses xerais (2)'!$F$42</f>
        <v>0</v>
      </c>
      <c r="J8" s="1360">
        <f>'Hipóteses xerais (2)'!$F$42</f>
        <v>0</v>
      </c>
      <c r="K8" s="1360">
        <f>'Hipóteses xerais (2)'!$F$42</f>
        <v>0</v>
      </c>
      <c r="L8" s="1360">
        <f>'Hipóteses xerais (2)'!$F$42</f>
        <v>0</v>
      </c>
      <c r="M8" s="1360">
        <f>'Hipóteses xerais (2)'!$F$42</f>
        <v>0</v>
      </c>
      <c r="N8" s="1360">
        <f>'Hipóteses xerais (2)'!$F$42</f>
        <v>0</v>
      </c>
      <c r="O8" s="1360">
        <f>'Hipóteses xerais (2)'!$F$42</f>
        <v>0</v>
      </c>
      <c r="P8" s="1360">
        <f>'Hipóteses xerais (2)'!$F$42</f>
        <v>0</v>
      </c>
      <c r="Q8" s="1360">
        <f>'Hipóteses xerais (2)'!$F$42</f>
        <v>0</v>
      </c>
      <c r="R8" s="1360">
        <f>'Hipóteses xerais (2)'!$F$42</f>
        <v>0</v>
      </c>
      <c r="S8" s="1360">
        <f>'Hipóteses xerais (2)'!$F$42</f>
        <v>0</v>
      </c>
      <c r="T8" s="1360">
        <f>'Hipóteses xerais (2)'!$F$42</f>
        <v>0</v>
      </c>
      <c r="U8" s="1360">
        <f>'Hipóteses xerais (2)'!$F$42</f>
        <v>0</v>
      </c>
      <c r="V8" s="1360">
        <f>'Hipóteses xerais (2)'!$F$42</f>
        <v>0</v>
      </c>
      <c r="W8" s="1360">
        <f>'Hipóteses xerais (2)'!$F$42</f>
        <v>0</v>
      </c>
      <c r="X8" s="1360">
        <f>'Hipóteses xerais (2)'!$F$42</f>
        <v>0</v>
      </c>
      <c r="Y8" s="1359">
        <f>'Hipóteses xerais (2)'!$F$42</f>
        <v>0</v>
      </c>
      <c r="Z8" s="1358">
        <f>'Hipóteses xerais (2)'!$F$42</f>
        <v>0</v>
      </c>
      <c r="AA8" s="1357">
        <f>SUM(B8:Z8)</f>
        <v>0</v>
      </c>
    </row>
    <row r="9" spans="1:27" s="10" customFormat="1" ht="29.5" thickBot="1" x14ac:dyDescent="0.4">
      <c r="A9" s="1356" t="s">
        <v>1187</v>
      </c>
      <c r="B9" s="1355">
        <f t="shared" ref="B9:Z9" si="0">SUM(B6:B8)</f>
        <v>8.2348999999999997</v>
      </c>
      <c r="C9" s="1354">
        <f t="shared" si="0"/>
        <v>8.2348999999999997</v>
      </c>
      <c r="D9" s="1354">
        <f t="shared" si="0"/>
        <v>8.2348999999999997</v>
      </c>
      <c r="E9" s="1354">
        <f t="shared" si="0"/>
        <v>8.2348999999999997</v>
      </c>
      <c r="F9" s="1354">
        <f t="shared" si="0"/>
        <v>8.2348999999999997</v>
      </c>
      <c r="G9" s="1354">
        <f t="shared" si="0"/>
        <v>8.2348999999999997</v>
      </c>
      <c r="H9" s="1354">
        <f t="shared" si="0"/>
        <v>8.2348999999999997</v>
      </c>
      <c r="I9" s="1354">
        <f t="shared" si="0"/>
        <v>8.2348999999999997</v>
      </c>
      <c r="J9" s="1354">
        <f t="shared" si="0"/>
        <v>8.2348999999999997</v>
      </c>
      <c r="K9" s="1354">
        <f t="shared" si="0"/>
        <v>8.2348999999999997</v>
      </c>
      <c r="L9" s="1354">
        <f t="shared" si="0"/>
        <v>8.2348999999999997</v>
      </c>
      <c r="M9" s="1354">
        <f t="shared" si="0"/>
        <v>8.2348999999999997</v>
      </c>
      <c r="N9" s="1354">
        <f t="shared" si="0"/>
        <v>8.2348999999999997</v>
      </c>
      <c r="O9" s="1354">
        <f t="shared" si="0"/>
        <v>8.2348999999999997</v>
      </c>
      <c r="P9" s="1354">
        <f t="shared" si="0"/>
        <v>8.2348999999999997</v>
      </c>
      <c r="Q9" s="1354">
        <f t="shared" si="0"/>
        <v>8.2348999999999997</v>
      </c>
      <c r="R9" s="1354">
        <f t="shared" si="0"/>
        <v>8.2348999999999997</v>
      </c>
      <c r="S9" s="1354">
        <f t="shared" si="0"/>
        <v>8.2348999999999997</v>
      </c>
      <c r="T9" s="1354">
        <f t="shared" si="0"/>
        <v>8.2348999999999997</v>
      </c>
      <c r="U9" s="1354">
        <f t="shared" si="0"/>
        <v>8.2348999999999997</v>
      </c>
      <c r="V9" s="1354">
        <f t="shared" si="0"/>
        <v>8.2348999999999997</v>
      </c>
      <c r="W9" s="1354">
        <f t="shared" si="0"/>
        <v>8.2348999999999997</v>
      </c>
      <c r="X9" s="1354">
        <f t="shared" si="0"/>
        <v>8.2348999999999997</v>
      </c>
      <c r="Y9" s="1353">
        <f t="shared" si="0"/>
        <v>8.2348999999999997</v>
      </c>
      <c r="Z9" s="1352">
        <f t="shared" si="0"/>
        <v>8.2348999999999997</v>
      </c>
      <c r="AA9" s="1351">
        <f>SUM(B9:Z9)</f>
        <v>205.87250000000006</v>
      </c>
    </row>
    <row r="11" spans="1:27" ht="15" thickBot="1" x14ac:dyDescent="0.4"/>
    <row r="12" spans="1:27" ht="29.5" thickBot="1" x14ac:dyDescent="0.4">
      <c r="A12" s="1350" t="s">
        <v>1186</v>
      </c>
      <c r="B12" s="1349">
        <f t="shared" ref="B12:Z12" ca="1" si="1">B3-B9</f>
        <v>-0.61940151391162246</v>
      </c>
      <c r="C12" s="1113">
        <f t="shared" ca="1" si="1"/>
        <v>21.853785195035467</v>
      </c>
      <c r="D12" s="1113">
        <f t="shared" ca="1" si="1"/>
        <v>28.79732793235134</v>
      </c>
      <c r="E12" s="1113">
        <f t="shared" ca="1" si="1"/>
        <v>24.242961190671007</v>
      </c>
      <c r="F12" s="1113">
        <f t="shared" ca="1" si="1"/>
        <v>13.043698711129291</v>
      </c>
      <c r="G12" s="1113">
        <f t="shared" ca="1" si="1"/>
        <v>10.28121396617567</v>
      </c>
      <c r="H12" s="1113">
        <f t="shared" ca="1" si="1"/>
        <v>8.34000846972177</v>
      </c>
      <c r="I12" s="1113">
        <f t="shared" ca="1" si="1"/>
        <v>30.21590117975995</v>
      </c>
      <c r="J12" s="1113">
        <f t="shared" ca="1" si="1"/>
        <v>12.073095962902354</v>
      </c>
      <c r="K12" s="1113">
        <f t="shared" ca="1" si="1"/>
        <v>25.810857937806883</v>
      </c>
      <c r="L12" s="1113">
        <f t="shared" ca="1" si="1"/>
        <v>14.835580707855978</v>
      </c>
      <c r="M12" s="1113">
        <f t="shared" ca="1" si="1"/>
        <v>27.304092935079115</v>
      </c>
      <c r="N12" s="1113">
        <f t="shared" ca="1" si="1"/>
        <v>25.586872688216044</v>
      </c>
      <c r="O12" s="1113">
        <f t="shared" ca="1" si="1"/>
        <v>12.371742962356802</v>
      </c>
      <c r="P12" s="1113">
        <f t="shared" ca="1" si="1"/>
        <v>15.059565957446807</v>
      </c>
      <c r="Q12" s="1113">
        <f t="shared" ca="1" si="1"/>
        <v>18.792653450627384</v>
      </c>
      <c r="R12" s="1113">
        <f t="shared" ca="1" si="1"/>
        <v>30.365224679487174</v>
      </c>
      <c r="S12" s="1113">
        <f t="shared" ca="1" si="1"/>
        <v>14.536933708401531</v>
      </c>
      <c r="T12" s="1113">
        <f t="shared" ca="1" si="1"/>
        <v>23.123034942716838</v>
      </c>
      <c r="U12" s="1113">
        <f t="shared" ca="1" si="1"/>
        <v>21.928446944899086</v>
      </c>
      <c r="V12" s="1113">
        <f t="shared" ca="1" si="1"/>
        <v>1.6951127318603358</v>
      </c>
      <c r="W12" s="1113">
        <f t="shared" ca="1" si="1"/>
        <v>20.659197197217662</v>
      </c>
      <c r="X12" s="1113">
        <f t="shared" ca="1" si="1"/>
        <v>6.7721117225859331</v>
      </c>
      <c r="Y12" s="1113">
        <f t="shared" ca="1" si="1"/>
        <v>0.57518648390616534</v>
      </c>
      <c r="Z12" s="1129">
        <f t="shared" ca="1" si="1"/>
        <v>25.138902189034365</v>
      </c>
      <c r="AA12" s="1348">
        <f ca="1">SUM(B12:Z12)</f>
        <v>432.78410833333334</v>
      </c>
    </row>
    <row r="13" spans="1:27" ht="15" thickBot="1" x14ac:dyDescent="0.4"/>
    <row r="14" spans="1:27" ht="29.5" thickBot="1" x14ac:dyDescent="0.4">
      <c r="A14" s="1406" t="s">
        <v>1185</v>
      </c>
      <c r="B14" s="1347">
        <f ca="1">B12/'Factura Socios Sen CE (2)'!B17</f>
        <v>-2.0189189978869232E-2</v>
      </c>
      <c r="C14" s="1346">
        <f ca="1">C12/'Factura Socios Sen CE (2)'!C17</f>
        <v>0.32480413617635556</v>
      </c>
      <c r="D14" s="1346">
        <f ca="1">D12/'Factura Socios Sen CE (2)'!D17</f>
        <v>0.36641444173717092</v>
      </c>
      <c r="E14" s="1346">
        <f ca="1">E12/'Factura Socios Sen CE (2)'!E17</f>
        <v>0.34061385658703947</v>
      </c>
      <c r="F14" s="1346">
        <f ca="1">F12/'Factura Socios Sen CE (2)'!F17</f>
        <v>0.24641635881660298</v>
      </c>
      <c r="G14" s="1346">
        <f ca="1">G12/'Factura Socios Sen CE (2)'!G17</f>
        <v>0.21227182805994138</v>
      </c>
      <c r="H14" s="1346">
        <f ca="1">H12/'Factura Socios Sen CE (2)'!H17</f>
        <v>0.18421814374829718</v>
      </c>
      <c r="I14" s="1346">
        <f ca="1">I12/'Factura Socios Sen CE (2)'!I17</f>
        <v>0.37348434593016688</v>
      </c>
      <c r="J14" s="1346">
        <f ca="1">J12/'Factura Socios Sen CE (2)'!J17</f>
        <v>0.23510143978475623</v>
      </c>
      <c r="K14" s="1346">
        <f ca="1">K12/'Factura Socios Sen CE (2)'!K17</f>
        <v>0.35008202550900874</v>
      </c>
      <c r="L14" s="1346">
        <f ca="1">L12/'Factura Socios Sen CE (2)'!L17</f>
        <v>0.26562263806091402</v>
      </c>
      <c r="M14" s="1346">
        <f ca="1">M12/'Factura Socios Sen CE (2)'!M17</f>
        <v>0.35850901357264581</v>
      </c>
      <c r="N14" s="1346">
        <f ca="1">N12/'Factura Socios Sen CE (2)'!N17</f>
        <v>0.34876978645317241</v>
      </c>
      <c r="O14" s="1346">
        <f ca="1">O12/'Factura Socios Sen CE (2)'!O17</f>
        <v>0.23865645620864398</v>
      </c>
      <c r="P14" s="1346">
        <f ca="1">P12/'Factura Socios Sen CE (2)'!P17</f>
        <v>0.26788320570505486</v>
      </c>
      <c r="Q14" s="1346">
        <f ca="1">Q12/'Factura Socios Sen CE (2)'!Q17</f>
        <v>0.30166148139746063</v>
      </c>
      <c r="R14" s="1346">
        <f ca="1">R12/'Factura Socios Sen CE (2)'!R17</f>
        <v>0.37420512599443795</v>
      </c>
      <c r="S14" s="1346">
        <f ca="1">S12/'Factura Socios Sen CE (2)'!S17</f>
        <v>0.26256220689873955</v>
      </c>
      <c r="T14" s="1346">
        <f ca="1">T12/'Factura Socios Sen CE (2)'!T17</f>
        <v>0.33342396137535907</v>
      </c>
      <c r="U14" s="1346">
        <f ca="1">U12/'Factura Socios Sen CE (2)'!U17</f>
        <v>0.32532582102791058</v>
      </c>
      <c r="V14" s="1346">
        <f ca="1">V12/'Factura Socios Sen CE (2)'!V17</f>
        <v>4.9205564466604575E-2</v>
      </c>
      <c r="W14" s="1346">
        <f ca="1">W12/'Factura Socios Sen CE (2)'!W17</f>
        <v>0.31619307911116223</v>
      </c>
      <c r="X14" s="1346">
        <f ca="1">X12/'Factura Socios Sen CE (2)'!X17</f>
        <v>0.15852783599634537</v>
      </c>
      <c r="Y14" s="1346">
        <f ca="1">Y12/'Factura Socios Sen CE (2)'!Y17</f>
        <v>1.762994546683648E-2</v>
      </c>
      <c r="Z14" s="1345">
        <f ca="1">Z12/'Factura Socios Sen CE (2)'!Z17</f>
        <v>0.34610576262772402</v>
      </c>
      <c r="AA14" s="1344">
        <f ca="1">AA12/'Factura Socios Sen CE (2)'!AA17</f>
        <v>0.28907913723166495</v>
      </c>
    </row>
  </sheetData>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53780-94B4-4131-AD27-FB702150C79F}">
  <dimension ref="A1:AH97"/>
  <sheetViews>
    <sheetView topLeftCell="U1" zoomScaleNormal="100" workbookViewId="0">
      <selection activeCell="C5" sqref="C5:D42"/>
    </sheetView>
  </sheetViews>
  <sheetFormatPr baseColWidth="10" defaultColWidth="11.453125" defaultRowHeight="14.5" x14ac:dyDescent="0.35"/>
  <cols>
    <col min="1" max="1" width="14.453125" hidden="1" customWidth="1"/>
    <col min="2" max="2" width="11.453125" hidden="1" customWidth="1"/>
    <col min="3" max="3" width="61.08984375" customWidth="1"/>
    <col min="4" max="4" width="13" bestFit="1" customWidth="1"/>
    <col min="5" max="5" width="18" customWidth="1"/>
    <col min="6" max="7" width="14.453125" bestFit="1" customWidth="1"/>
    <col min="8" max="12" width="13" bestFit="1" customWidth="1"/>
    <col min="13" max="25" width="12.54296875" bestFit="1" customWidth="1"/>
    <col min="26" max="30" width="14.453125" bestFit="1" customWidth="1"/>
    <col min="31" max="31" width="23.453125" bestFit="1" customWidth="1"/>
    <col min="32" max="32" width="15.453125" bestFit="1" customWidth="1"/>
  </cols>
  <sheetData>
    <row r="1" spans="1:32" ht="15" thickBot="1" x14ac:dyDescent="0.4"/>
    <row r="2" spans="1:32" ht="15.5" thickTop="1" thickBot="1" x14ac:dyDescent="0.4">
      <c r="C2" s="13" t="str">
        <f>VLOOKUP("CONTA DE EXPLOTACIÓN",tabIdiomas26[],MATCH('Indiv. Invoices Comparison'!$J$2,tabIdiomas26[#Headers]),FALSE)</f>
        <v>Operating Account</v>
      </c>
      <c r="F2" s="240" t="str">
        <f>VLOOKUP("Lingua",tabIdiomas26[],MATCH($G$2,tabIdiomas26[#Headers]),FALSE)</f>
        <v>Language</v>
      </c>
      <c r="G2" s="241" t="s">
        <v>22</v>
      </c>
    </row>
    <row r="3" spans="1:32" ht="15.5" thickTop="1" thickBot="1" x14ac:dyDescent="0.4">
      <c r="B3" s="150"/>
    </row>
    <row r="4" spans="1:32" s="729" customFormat="1" ht="15" thickTop="1" x14ac:dyDescent="0.35">
      <c r="A4" s="713"/>
      <c r="B4" s="683"/>
      <c r="C4" s="1459"/>
      <c r="D4" s="1848" t="str">
        <f>VLOOKUP("Hipóteses de Partida",tabIdiomas26[],MATCH('Indiv. Invoices Comparison'!$J$2,tabIdiomas26[#Headers]),FALSE)</f>
        <v>Starting Hypotheses</v>
      </c>
      <c r="E4" s="1848"/>
      <c r="F4" s="1458">
        <v>1</v>
      </c>
      <c r="G4" s="1458">
        <v>2</v>
      </c>
      <c r="H4" s="1458">
        <v>3</v>
      </c>
      <c r="I4" s="1458">
        <v>4</v>
      </c>
      <c r="J4" s="1458">
        <v>5</v>
      </c>
      <c r="K4" s="1458">
        <v>6</v>
      </c>
      <c r="L4" s="1458">
        <v>7</v>
      </c>
      <c r="M4" s="1458">
        <v>8</v>
      </c>
      <c r="N4" s="1458">
        <v>9</v>
      </c>
      <c r="O4" s="1458">
        <v>10</v>
      </c>
      <c r="P4" s="1458">
        <v>11</v>
      </c>
      <c r="Q4" s="1458">
        <v>12</v>
      </c>
      <c r="R4" s="1458">
        <v>13</v>
      </c>
      <c r="S4" s="1458">
        <v>14</v>
      </c>
      <c r="T4" s="1458">
        <v>15</v>
      </c>
      <c r="U4" s="1458">
        <v>16</v>
      </c>
      <c r="V4" s="1458">
        <v>17</v>
      </c>
      <c r="W4" s="1458">
        <v>18</v>
      </c>
      <c r="X4" s="1458">
        <v>19</v>
      </c>
      <c r="Y4" s="1458">
        <v>20</v>
      </c>
      <c r="Z4" s="1458">
        <v>21</v>
      </c>
      <c r="AA4" s="1458">
        <v>22</v>
      </c>
      <c r="AB4" s="1458">
        <v>23</v>
      </c>
      <c r="AC4" s="1458">
        <v>24</v>
      </c>
      <c r="AD4" s="1458">
        <v>25</v>
      </c>
      <c r="AE4" s="1457" t="str">
        <f>VLOOKUP("Valores Acumulados (Suma)",tabIdiomas26[],MATCH('Indiv. Invoices Comparison'!$J$2,tabIdiomas26[#Headers]),FALSE)</f>
        <v>Cummulative Values (Sum)</v>
      </c>
    </row>
    <row r="5" spans="1:32" s="729" customFormat="1" ht="29.5" thickBot="1" x14ac:dyDescent="0.4">
      <c r="B5" s="731" t="s">
        <v>916</v>
      </c>
      <c r="C5" s="1523" t="str">
        <f>VLOOKUP("INGRESOS",tabIdiomas26[],MATCH('Indiv. Invoices Comparison'!$J$2,tabIdiomas26[#Headers]),FALSE)</f>
        <v>INCOME</v>
      </c>
      <c r="D5" s="1522" t="str">
        <f>VLOOKUP("Ref. 1",tabIdiomas26[],MATCH('Indiv. Invoices Comparison'!$J$2,tabIdiomas26[#Headers]),FALSE)</f>
        <v>Ref. 1</v>
      </c>
      <c r="E5" s="1522"/>
      <c r="F5" s="1522">
        <v>2025</v>
      </c>
      <c r="G5" s="1522">
        <v>2026</v>
      </c>
      <c r="H5" s="1522">
        <v>2027</v>
      </c>
      <c r="I5" s="1522">
        <v>2028</v>
      </c>
      <c r="J5" s="1522">
        <v>2029</v>
      </c>
      <c r="K5" s="1522">
        <v>2030</v>
      </c>
      <c r="L5" s="1522">
        <v>2031</v>
      </c>
      <c r="M5" s="1522">
        <v>2032</v>
      </c>
      <c r="N5" s="1522">
        <v>2033</v>
      </c>
      <c r="O5" s="1522">
        <v>2034</v>
      </c>
      <c r="P5" s="1522">
        <v>2035</v>
      </c>
      <c r="Q5" s="1522">
        <v>2036</v>
      </c>
      <c r="R5" s="1522">
        <v>2037</v>
      </c>
      <c r="S5" s="1522">
        <v>2038</v>
      </c>
      <c r="T5" s="1522">
        <v>2039</v>
      </c>
      <c r="U5" s="1522">
        <v>2040</v>
      </c>
      <c r="V5" s="1522">
        <v>2041</v>
      </c>
      <c r="W5" s="1522">
        <v>2042</v>
      </c>
      <c r="X5" s="1522">
        <v>2043</v>
      </c>
      <c r="Y5" s="1522">
        <v>2044</v>
      </c>
      <c r="Z5" s="1522">
        <v>2045</v>
      </c>
      <c r="AA5" s="1522">
        <v>2046</v>
      </c>
      <c r="AB5" s="1522">
        <v>2047</v>
      </c>
      <c r="AC5" s="1522">
        <v>2048</v>
      </c>
      <c r="AD5" s="1522">
        <v>2049</v>
      </c>
      <c r="AE5" s="1521" t="str">
        <f>VLOOKUP("Vida Completa do Proxecto",tabIdiomas26[],MATCH('Indiv. Invoices Comparison'!$J$2,tabIdiomas26[#Headers]),FALSE)</f>
        <v>Complete Project Lifetime</v>
      </c>
    </row>
    <row r="6" spans="1:32" ht="15" hidden="1" thickTop="1" x14ac:dyDescent="0.35">
      <c r="A6" s="664"/>
      <c r="B6">
        <v>7050010</v>
      </c>
      <c r="C6" s="171" t="s">
        <v>913</v>
      </c>
      <c r="D6" s="150">
        <f>'Estim. Ingresos'!$D$26</f>
        <v>4466</v>
      </c>
      <c r="E6" s="150"/>
      <c r="F6" s="150">
        <f>D6</f>
        <v>4466</v>
      </c>
      <c r="G6" s="150">
        <f>F6*(1+'Hipóteses 2'!$G$7)*(1+'Hipóteses xerais (2)'!C47)</f>
        <v>4604.4459999999999</v>
      </c>
      <c r="H6" s="150">
        <f>G6*(1+'Hipóteses 2'!$G$7)*(1+'Hipóteses xerais (2)'!C47)</f>
        <v>4747.1838259999995</v>
      </c>
      <c r="I6" s="150">
        <f>H6*(1+'Hipóteses 2'!$G$7)*(1+'Hipóteses xerais (2)'!C47)</f>
        <v>4894.3465246059986</v>
      </c>
      <c r="J6" s="150">
        <f>I6*(1+'Hipóteses 2'!$G$7)*(1+'Hipóteses xerais (2)'!C47)</f>
        <v>5046.0712668687838</v>
      </c>
      <c r="K6" s="150">
        <f>J6*(1+'Hipóteses 2'!$G$8)*(1+'Hipóteses xerais (2)'!$C$47)</f>
        <v>5202.4994761417156</v>
      </c>
      <c r="L6" s="150">
        <f>K6*(1+'Hipóteses 2'!$G$8)*(1+'Hipóteses xerais (2)'!$C$47)</f>
        <v>5363.7769599021085</v>
      </c>
      <c r="M6" s="150">
        <f>L6*(1+'Hipóteses 2'!$G$8)*(1+'Hipóteses xerais (2)'!$C$47)</f>
        <v>5530.0540456590734</v>
      </c>
      <c r="N6" s="150">
        <f>M6*(1+'Hipóteses 2'!$G$8)*(1+'Hipóteses xerais (2)'!$C$47)</f>
        <v>5701.485721074504</v>
      </c>
      <c r="O6" s="150">
        <f>N6*(1+'Hipóteses 2'!$G$8)*(1+'Hipóteses xerais (2)'!$C$47)</f>
        <v>5878.231778427813</v>
      </c>
      <c r="P6" s="150">
        <f>O6*(1+'Hipóteses 2'!$G$8)*(1+'Hipóteses xerais (2)'!$C$47)</f>
        <v>6060.4569635590751</v>
      </c>
      <c r="Q6" s="150">
        <f>P6*(1+'Hipóteses 2'!$G$8)*(1+'Hipóteses xerais (2)'!$C$47)</f>
        <v>6248.3311294294062</v>
      </c>
      <c r="R6" s="150">
        <f>Q6*(1+'Hipóteses 2'!$G$8)*(1+'Hipóteses xerais (2)'!$C$47)</f>
        <v>6442.0293944417172</v>
      </c>
      <c r="S6" s="150">
        <f>R6*(1+'Hipóteses 2'!$G$8)*(1+'Hipóteses xerais (2)'!$C$47)</f>
        <v>6641.7323056694095</v>
      </c>
      <c r="T6" s="150">
        <f>S6*(1+'Hipóteses 2'!$G$8)*(1+'Hipóteses xerais (2)'!$C$47)</f>
        <v>6847.6260071451607</v>
      </c>
      <c r="U6" s="150">
        <f>T6*(1+'Hipóteses 2'!$G$8)*(1+'Hipóteses xerais (2)'!$C$47)</f>
        <v>7059.9024133666599</v>
      </c>
      <c r="V6" s="150">
        <f>U6*(1+'Hipóteses 2'!$G$8)*(1+'Hipóteses xerais (2)'!$C$47)</f>
        <v>7278.7593881810253</v>
      </c>
      <c r="W6" s="150">
        <f>V6*(1+'Hipóteses 2'!$G$8)*(1+'Hipóteses xerais (2)'!$C$47)</f>
        <v>7504.4009292146366</v>
      </c>
      <c r="X6" s="150">
        <f>W6*(1+'Hipóteses 2'!$G$8)*(1+'Hipóteses xerais (2)'!$C$47)</f>
        <v>7737.0373580202895</v>
      </c>
      <c r="Y6" s="150">
        <f>X6*(1+'Hipóteses 2'!$G$8)*(1+'Hipóteses xerais (2)'!$C$47)</f>
        <v>7976.8855161189176</v>
      </c>
      <c r="Z6" s="150">
        <f>Y6*(1+'Hipóteses 2'!$G$8)*(1+'Hipóteses xerais (2)'!$C$47)</f>
        <v>8224.1689671186032</v>
      </c>
      <c r="AA6" s="150">
        <f>Z6*(1+'Hipóteses 2'!$G$8)*(1+'Hipóteses xerais (2)'!$C$47)</f>
        <v>8479.1182050992793</v>
      </c>
      <c r="AB6" s="150">
        <f>AA6*(1+'Hipóteses 2'!$G$8)*(1+'Hipóteses xerais (2)'!$C$47)</f>
        <v>8741.9708694573565</v>
      </c>
      <c r="AC6" s="150">
        <f>AB6*(1+'Hipóteses 2'!$G$8)*(1+'Hipóteses xerais (2)'!$C$47)</f>
        <v>9012.9719664105342</v>
      </c>
      <c r="AD6" s="150">
        <f>AC6*(1+'Hipóteses 2'!$G$8)*(1+'Hipóteses xerais (2)'!$C$47)</f>
        <v>9292.3740973692602</v>
      </c>
      <c r="AE6" s="663">
        <f t="shared" ref="AE6:AE15" si="0">SUM(F6:AD6)</f>
        <v>164981.86110928131</v>
      </c>
    </row>
    <row r="7" spans="1:32" s="10" customFormat="1" ht="29.5" hidden="1" thickTop="1" x14ac:dyDescent="0.35">
      <c r="A7" s="728"/>
      <c r="B7" s="10">
        <v>7050020</v>
      </c>
      <c r="C7" s="711" t="s">
        <v>912</v>
      </c>
      <c r="D7" s="626">
        <f>'Estim. Ingresos'!$D$27</f>
        <v>2233</v>
      </c>
      <c r="E7" s="626"/>
      <c r="F7" s="626">
        <f>D7</f>
        <v>2233</v>
      </c>
      <c r="G7" s="626">
        <f>F7*(1+'Hipóteses 2'!$H$7)*(1+'Hipóteses xerais (2)'!C47)</f>
        <v>2302.223</v>
      </c>
      <c r="H7" s="626">
        <f>G7*(1+'Hipóteses 2'!$H$7)*(1+'Hipóteses xerais (2)'!C47)</f>
        <v>2373.5919129999997</v>
      </c>
      <c r="I7" s="626">
        <f>H7*(1+'Hipóteses 2'!$H$7)*(1+'Hipóteses xerais (2)'!C47)</f>
        <v>2447.1732623029993</v>
      </c>
      <c r="J7" s="626">
        <f>I7*(1+'Hipóteses 2'!$H$7)*(1+'Hipóteses xerais (2)'!C47)</f>
        <v>2523.0356334343919</v>
      </c>
      <c r="K7" s="626">
        <f>J7*(1+'Hipóteses 2'!$H$8)*(1+'Hipóteses xerais (2)'!$C$47)</f>
        <v>2601.2497380708578</v>
      </c>
      <c r="L7" s="626">
        <f>K7*(1+'Hipóteses 2'!$H$8)*(1+'Hipóteses xerais (2)'!$C$47)</f>
        <v>2681.8884799510543</v>
      </c>
      <c r="M7" s="626">
        <f>L7*(1+'Hipóteses 2'!$H$8)*(1+'Hipóteses xerais (2)'!$C$47)</f>
        <v>2765.0270228295367</v>
      </c>
      <c r="N7" s="626">
        <f>M7*(1+'Hipóteses 2'!$H$8)*(1+'Hipóteses xerais (2)'!$C$47)</f>
        <v>2850.742860537252</v>
      </c>
      <c r="O7" s="626">
        <f>N7*(1+'Hipóteses 2'!$H$8)*(1+'Hipóteses xerais (2)'!$C$47)</f>
        <v>2939.1158892139065</v>
      </c>
      <c r="P7" s="626">
        <f>O7*(1+'Hipóteses 2'!$H$8)*(1+'Hipóteses xerais (2)'!$C$47)</f>
        <v>3030.2284817795376</v>
      </c>
      <c r="Q7" s="626">
        <f>P7*(1+'Hipóteses 2'!$H$8)*(1+'Hipóteses xerais (2)'!$C$47)</f>
        <v>3124.1655647147031</v>
      </c>
      <c r="R7" s="626">
        <f>Q7*(1+'Hipóteses 2'!$H$8)*(1+'Hipóteses xerais (2)'!$C$47)</f>
        <v>3221.0146972208586</v>
      </c>
      <c r="S7" s="626">
        <f>R7*(1+'Hipóteses 2'!$H$8)*(1+'Hipóteses xerais (2)'!$C$47)</f>
        <v>3320.8661528347047</v>
      </c>
      <c r="T7" s="626">
        <f>S7*(1+'Hipóteses 2'!$H$8)*(1+'Hipóteses xerais (2)'!$C$47)</f>
        <v>3423.8130035725803</v>
      </c>
      <c r="U7" s="626">
        <f>T7*(1+'Hipóteses 2'!$H$8)*(1+'Hipóteses xerais (2)'!$C$47)</f>
        <v>3529.9512066833299</v>
      </c>
      <c r="V7" s="626">
        <f>U7*(1+'Hipóteses 2'!$H$8)*(1+'Hipóteses xerais (2)'!$C$47)</f>
        <v>3639.3796940905127</v>
      </c>
      <c r="W7" s="626">
        <f>V7*(1+'Hipóteses 2'!$H$8)*(1+'Hipóteses xerais (2)'!$C$47)</f>
        <v>3752.2004646073183</v>
      </c>
      <c r="X7" s="626">
        <f>W7*(1+'Hipóteses 2'!$H$8)*(1+'Hipóteses xerais (2)'!$C$47)</f>
        <v>3868.5186790101448</v>
      </c>
      <c r="Y7" s="626">
        <f>X7*(1+'Hipóteses 2'!$H$8)*(1+'Hipóteses xerais (2)'!$C$47)</f>
        <v>3988.4427580594588</v>
      </c>
      <c r="Z7" s="626">
        <f>Y7*(1+'Hipóteses 2'!$H$8)*(1+'Hipóteses xerais (2)'!$C$47)</f>
        <v>4112.0844835593016</v>
      </c>
      <c r="AA7" s="626">
        <f>Z7*(1+'Hipóteses 2'!$H$8)*(1+'Hipóteses xerais (2)'!$C$47)</f>
        <v>4239.5591025496396</v>
      </c>
      <c r="AB7" s="626">
        <f>AA7*(1+'Hipóteses 2'!$H$8)*(1+'Hipóteses xerais (2)'!$C$47)</f>
        <v>4370.9854347286782</v>
      </c>
      <c r="AC7" s="626">
        <f>AB7*(1+'Hipóteses 2'!$H$8)*(1+'Hipóteses xerais (2)'!$C$47)</f>
        <v>4506.4859832052671</v>
      </c>
      <c r="AD7" s="626">
        <f>AC7*(1+'Hipóteses 2'!$H$8)*(1+'Hipóteses xerais (2)'!$C$47)</f>
        <v>4646.1870486846301</v>
      </c>
      <c r="AE7" s="710">
        <f t="shared" si="0"/>
        <v>82490.930554640654</v>
      </c>
    </row>
    <row r="8" spans="1:32" s="10" customFormat="1" ht="15" hidden="1" thickTop="1" x14ac:dyDescent="0.35">
      <c r="A8" s="728"/>
      <c r="B8" s="10">
        <v>7050030</v>
      </c>
      <c r="C8" s="711" t="s">
        <v>911</v>
      </c>
      <c r="D8" s="626">
        <f>'Estim. Ingresos'!$D$28</f>
        <v>0</v>
      </c>
      <c r="E8" s="626"/>
      <c r="F8" s="626">
        <f>D8</f>
        <v>0</v>
      </c>
      <c r="G8" s="626">
        <f>F8*(1+'Hipóteses 2'!$H$7)*(1+'Hipóteses xerais (2)'!$C$47)</f>
        <v>0</v>
      </c>
      <c r="H8" s="626">
        <f>G8*(1+'Hipóteses 2'!$H$7)*(1+'Hipóteses xerais (2)'!$C$47)</f>
        <v>0</v>
      </c>
      <c r="I8" s="626">
        <f>H8*(1+'Hipóteses 2'!$H$7)*(1+'Hipóteses xerais (2)'!$C$47)</f>
        <v>0</v>
      </c>
      <c r="J8" s="626">
        <f>I8*(1+'Hipóteses 2'!$H$7)*(1+'Hipóteses xerais (2)'!$C$47)</f>
        <v>0</v>
      </c>
      <c r="K8" s="626">
        <f>J8*(1+'Hipóteses 2'!$H$7)*(1+'Hipóteses xerais (2)'!$C$47)</f>
        <v>0</v>
      </c>
      <c r="L8" s="626">
        <f>K8*(1+'Hipóteses 2'!$H$7)*(1+'Hipóteses xerais (2)'!$C$47)</f>
        <v>0</v>
      </c>
      <c r="M8" s="626">
        <f>L8*(1+'Hipóteses 2'!$H$7)*(1+'Hipóteses xerais (2)'!$C$47)</f>
        <v>0</v>
      </c>
      <c r="N8" s="626">
        <f>M8*(1+'Hipóteses 2'!$H$7)*(1+'Hipóteses xerais (2)'!$C$47)</f>
        <v>0</v>
      </c>
      <c r="O8" s="626">
        <f>N8*(1+'Hipóteses 2'!$H$7)*(1+'Hipóteses xerais (2)'!$C$47)</f>
        <v>0</v>
      </c>
      <c r="P8" s="626">
        <f>O8*(1+'Hipóteses 2'!$H$7)*(1+'Hipóteses xerais (2)'!$C$47)</f>
        <v>0</v>
      </c>
      <c r="Q8" s="626">
        <f>P8*(1+'Hipóteses 2'!$H$7)*(1+'Hipóteses xerais (2)'!$C$47)</f>
        <v>0</v>
      </c>
      <c r="R8" s="626">
        <f>Q8*(1+'Hipóteses 2'!$H$7)*(1+'Hipóteses xerais (2)'!$C$47)</f>
        <v>0</v>
      </c>
      <c r="S8" s="626">
        <f>R8*(1+'Hipóteses 2'!$H$7)*(1+'Hipóteses xerais (2)'!$C$47)</f>
        <v>0</v>
      </c>
      <c r="T8" s="626">
        <f>S8*(1+'Hipóteses 2'!$H$7)*(1+'Hipóteses xerais (2)'!$C$47)</f>
        <v>0</v>
      </c>
      <c r="U8" s="626">
        <f>T8*(1+'Hipóteses 2'!$H$7)*(1+'Hipóteses xerais (2)'!$C$47)</f>
        <v>0</v>
      </c>
      <c r="V8" s="626">
        <f>U8*(1+'Hipóteses 2'!$H$7)*(1+'Hipóteses xerais (2)'!$C$47)</f>
        <v>0</v>
      </c>
      <c r="W8" s="626">
        <f>V8*(1+'Hipóteses 2'!$H$7)*(1+'Hipóteses xerais (2)'!$C$47)</f>
        <v>0</v>
      </c>
      <c r="X8" s="626">
        <f>W8*(1+'Hipóteses 2'!$H$7)*(1+'Hipóteses xerais (2)'!$C$47)</f>
        <v>0</v>
      </c>
      <c r="Y8" s="626">
        <f>X8*(1+'Hipóteses 2'!$H$7)*(1+'Hipóteses xerais (2)'!$C$47)</f>
        <v>0</v>
      </c>
      <c r="Z8" s="626">
        <f>Y8*(1+'Hipóteses 2'!$H$7)*(1+'Hipóteses xerais (2)'!$C$47)</f>
        <v>0</v>
      </c>
      <c r="AA8" s="626">
        <f>Z8*(1+'Hipóteses 2'!$H$7)*(1+'Hipóteses xerais (2)'!$C$47)</f>
        <v>0</v>
      </c>
      <c r="AB8" s="626">
        <f>AA8*(1+'Hipóteses 2'!$H$7)*(1+'Hipóteses xerais (2)'!$C$47)</f>
        <v>0</v>
      </c>
      <c r="AC8" s="626">
        <f>AB8*(1+'Hipóteses 2'!$H$7)*(1+'Hipóteses xerais (2)'!$C$47)</f>
        <v>0</v>
      </c>
      <c r="AD8" s="626">
        <f>AC8*(1+'Hipóteses 2'!$H$7)*(1+'Hipóteses xerais (2)'!$C$47)</f>
        <v>0</v>
      </c>
      <c r="AE8" s="710">
        <f t="shared" si="0"/>
        <v>0</v>
      </c>
    </row>
    <row r="9" spans="1:32" s="63" customFormat="1" ht="15" thickTop="1" x14ac:dyDescent="0.35">
      <c r="C9" s="1520" t="str">
        <f>VLOOKUP("Ingresos Totais pola Enerxía Producida",tabIdiomas26[],MATCH('Indiv. Invoices Comparison'!$J$2,tabIdiomas26[#Headers]),FALSE)</f>
        <v>Total Income from Energy Produced</v>
      </c>
      <c r="D9" s="1519">
        <f>SUM(D6:D8)</f>
        <v>6699</v>
      </c>
      <c r="E9" s="1519"/>
      <c r="F9" s="1519">
        <f>SUM(F6:F8)</f>
        <v>6699</v>
      </c>
      <c r="G9" s="1519">
        <f>F9*(1+'Hipóteses xerais (2)'!$C$31)</f>
        <v>6906.6689999999999</v>
      </c>
      <c r="H9" s="1519">
        <f>G9*(1+'Hipóteses xerais (2)'!$C$31)</f>
        <v>7120.7757389999997</v>
      </c>
      <c r="I9" s="1519">
        <f>H9*(1+'Hipóteses xerais (2)'!$C$31)</f>
        <v>7341.5197869089989</v>
      </c>
      <c r="J9" s="1519">
        <f>I9*(1+'Hipóteses xerais (2)'!$C$31)</f>
        <v>7569.1069003031771</v>
      </c>
      <c r="K9" s="1519">
        <f>J9*(1+'Hipóteses xerais (2)'!$C$31)</f>
        <v>7803.7492142125748</v>
      </c>
      <c r="L9" s="1519">
        <f>K9*(1+'Hipóteses xerais (2)'!$C$31)</f>
        <v>8045.6654398531637</v>
      </c>
      <c r="M9" s="1519">
        <f>L9*(1+'Hipóteses xerais (2)'!$C$31)</f>
        <v>8295.081068488611</v>
      </c>
      <c r="N9" s="1519">
        <f>M9*(1+'Hipóteses xerais (2)'!$C$31)</f>
        <v>8552.2285816117565</v>
      </c>
      <c r="O9" s="1519">
        <f>N9*(1+'Hipóteses xerais (2)'!$C$31)</f>
        <v>8817.3476676417195</v>
      </c>
      <c r="P9" s="1519">
        <f>O9*(1+'Hipóteses xerais (2)'!$C$31)</f>
        <v>9090.6854453386113</v>
      </c>
      <c r="Q9" s="1519">
        <f>P9*(1+'Hipóteses xerais (2)'!$C$31)</f>
        <v>9372.4966941441071</v>
      </c>
      <c r="R9" s="1519">
        <f>Q9*(1+'Hipóteses xerais (2)'!$C$31)</f>
        <v>9663.0440916625739</v>
      </c>
      <c r="S9" s="1519">
        <f>R9*(1+'Hipóteses xerais (2)'!$C$31)</f>
        <v>9962.5984585041133</v>
      </c>
      <c r="T9" s="1519">
        <f>S9*(1+'Hipóteses xerais (2)'!$C$31)</f>
        <v>10271.439010717741</v>
      </c>
      <c r="U9" s="1519">
        <f>T9*(1+'Hipóteses xerais (2)'!$C$31)</f>
        <v>10589.853620049989</v>
      </c>
      <c r="V9" s="1519">
        <f>U9*(1+'Hipóteses xerais (2)'!$C$31)</f>
        <v>10918.139082271538</v>
      </c>
      <c r="W9" s="1519">
        <f>V9*(1+'Hipóteses xerais (2)'!$C$31)</f>
        <v>11256.601393821955</v>
      </c>
      <c r="X9" s="1519">
        <f>W9*(1+'Hipóteses xerais (2)'!$C$31)</f>
        <v>11605.556037030434</v>
      </c>
      <c r="Y9" s="1519">
        <f>X9*(1+'Hipóteses xerais (2)'!$C$31)</f>
        <v>11965.328274178377</v>
      </c>
      <c r="Z9" s="1519">
        <f>Y9*(1+'Hipóteses xerais (2)'!$C$31)</f>
        <v>12336.253450677905</v>
      </c>
      <c r="AA9" s="1519">
        <f>Z9*(1+'Hipóteses xerais (2)'!$C$31)</f>
        <v>12718.677307648919</v>
      </c>
      <c r="AB9" s="1519">
        <f>AA9*(1+'Hipóteses xerais (2)'!$C$31)</f>
        <v>13112.956304186035</v>
      </c>
      <c r="AC9" s="1519">
        <f>AB9*(1+'Hipóteses xerais (2)'!$C$31)</f>
        <v>13519.4579496158</v>
      </c>
      <c r="AD9" s="1519">
        <f>AC9*(1+'Hipóteses xerais (2)'!$C$31)</f>
        <v>13938.561146053889</v>
      </c>
      <c r="AE9" s="1518">
        <f t="shared" si="0"/>
        <v>247472.79166392199</v>
      </c>
    </row>
    <row r="10" spans="1:32" s="63" customFormat="1" hidden="1" x14ac:dyDescent="0.35">
      <c r="B10">
        <v>7050040</v>
      </c>
      <c r="C10" s="725" t="str">
        <f>'Estim. Ingresos'!$A34</f>
        <v>Cota Extra Inicial (Só Primeiro Ano)</v>
      </c>
      <c r="D10" s="150">
        <f>'Estim. Ingresos'!$D34</f>
        <v>0</v>
      </c>
      <c r="E10" s="150"/>
      <c r="F10" s="150">
        <f>D10</f>
        <v>0</v>
      </c>
      <c r="G10" s="150">
        <v>0</v>
      </c>
      <c r="H10" s="150">
        <v>0</v>
      </c>
      <c r="I10" s="150">
        <v>0</v>
      </c>
      <c r="J10" s="150">
        <v>0</v>
      </c>
      <c r="K10" s="150">
        <v>0</v>
      </c>
      <c r="L10" s="150">
        <v>0</v>
      </c>
      <c r="M10" s="150">
        <v>0</v>
      </c>
      <c r="N10" s="150">
        <v>0</v>
      </c>
      <c r="O10" s="150">
        <v>0</v>
      </c>
      <c r="P10" s="150">
        <v>0</v>
      </c>
      <c r="Q10" s="150">
        <v>0</v>
      </c>
      <c r="R10" s="150">
        <v>0</v>
      </c>
      <c r="S10" s="150">
        <v>0</v>
      </c>
      <c r="T10" s="150">
        <v>0</v>
      </c>
      <c r="U10" s="150">
        <v>0</v>
      </c>
      <c r="V10" s="150">
        <v>0</v>
      </c>
      <c r="W10" s="150">
        <v>0</v>
      </c>
      <c r="X10" s="150">
        <v>0</v>
      </c>
      <c r="Y10" s="150">
        <v>0</v>
      </c>
      <c r="Z10" s="150">
        <v>0</v>
      </c>
      <c r="AA10" s="150">
        <v>0</v>
      </c>
      <c r="AB10" s="150">
        <v>0</v>
      </c>
      <c r="AC10" s="150">
        <v>0</v>
      </c>
      <c r="AD10" s="150">
        <v>0</v>
      </c>
      <c r="AE10" s="726">
        <f t="shared" si="0"/>
        <v>0</v>
      </c>
    </row>
    <row r="11" spans="1:32" s="63" customFormat="1" x14ac:dyDescent="0.35">
      <c r="B11">
        <v>7050041</v>
      </c>
      <c r="C11" s="1517" t="str">
        <f>VLOOKUP("Cotas de Socios",tabIdiomas26[],MATCH('Indiv. Invoices Comparison'!$J$2,tabIdiomas26[#Headers]),FALSE)</f>
        <v>Membership Fees</v>
      </c>
      <c r="D11" s="1323">
        <f>'Estim. Ingresos'!$D35</f>
        <v>2470.4699999999998</v>
      </c>
      <c r="E11" s="1323"/>
      <c r="F11" s="1323">
        <f>D11</f>
        <v>2470.4699999999998</v>
      </c>
      <c r="G11" s="1323">
        <f>IF('Hipóteses xerais (2)'!$C$96="Si",('Operating Account'!G$93*12*'Hipóteses xerais (2)'!$F$39),('Operating Account'!G$76*12*'Hipóteses xerais (2)'!$F$39))</f>
        <v>2460</v>
      </c>
      <c r="H11" s="1323">
        <f>IF('Hipóteses xerais (2)'!$C$96="Si",('Operating Account'!H$93*12*'Hipóteses xerais (2)'!$F$39),('Operating Account'!H$76*12*'Hipóteses xerais (2)'!$F$39))</f>
        <v>2574.5599999999995</v>
      </c>
      <c r="I11" s="1323">
        <f>IF('Hipóteses xerais (2)'!$C$96="Si",('Operating Account'!I$93*12*'Hipóteses xerais (2)'!$F$39),('Operating Account'!I$76*12*'Hipóteses xerais (2)'!$F$39))</f>
        <v>2692.7859200000003</v>
      </c>
      <c r="J11" s="1323">
        <f>IF('Hipóteses xerais (2)'!$C$96="Si",('Operating Account'!J$93*12*'Hipóteses xerais (2)'!$F$39),('Operating Account'!J$76*12*'Hipóteses xerais (2)'!$F$39))</f>
        <v>2814.7950694400001</v>
      </c>
      <c r="K11" s="1323">
        <f>IF('Hipóteses xerais (2)'!$C$96="Si",('Operating Account'!K$93*12*'Hipóteses xerais (2)'!$F$39),('Operating Account'!K$76*12*'Hipóteses xerais (2)'!$F$39))</f>
        <v>2940.7085116620801</v>
      </c>
      <c r="L11" s="1323">
        <f>IF('Hipóteses xerais (2)'!$C$96="Si",('Operating Account'!L$93*12*'Hipóteses xerais (2)'!$F$39),('Operating Account'!L$76*12*'Hipóteses xerais (2)'!$F$39))</f>
        <v>3070.6511840352669</v>
      </c>
      <c r="M11" s="1323">
        <f>IF('Hipóteses xerais (2)'!$C$96="Si",('Operating Account'!M$93*12*'Hipóteses xerais (2)'!$F$39),('Operating Account'!M$76*12*'Hipóteses xerais (2)'!$F$39))</f>
        <v>3204.7520219243952</v>
      </c>
      <c r="N11" s="1323">
        <f>IF('Hipóteses xerais (2)'!$C$96="Si",('Operating Account'!N$93*12*'Hipóteses xerais (2)'!$F$39),('Operating Account'!N$76*12*'Hipóteses xerais (2)'!$F$39))</f>
        <v>3343.1440866259768</v>
      </c>
      <c r="O11" s="1323">
        <f>IF('Hipóteses xerais (2)'!$C$96="Si",('Operating Account'!O$93*12*'Hipóteses xerais (2)'!$F$39),('Operating Account'!O$76*12*'Hipóteses xerais (2)'!$F$39))</f>
        <v>3485.9646973980075</v>
      </c>
      <c r="P11" s="1323">
        <f>IF('Hipóteses xerais (2)'!$C$96="Si",('Operating Account'!P$93*12*'Hipóteses xerais (2)'!$F$39),('Operating Account'!P$76*12*'Hipóteses xerais (2)'!$F$39))</f>
        <v>3633.3555677147442</v>
      </c>
      <c r="Q11" s="1323">
        <f>IF('Hipóteses xerais (2)'!$C$96="Si",('Operating Account'!Q$93*12*'Hipóteses xerais (2)'!$F$39),('Operating Account'!Q$76*12*'Hipóteses xerais (2)'!$F$39))</f>
        <v>3785.4629458816171</v>
      </c>
      <c r="R11" s="1323">
        <f>IF('Hipóteses xerais (2)'!$C$96="Si",('Operating Account'!R$93*12*'Hipóteses xerais (2)'!$F$39),('Operating Account'!R$76*12*'Hipóteses xerais (2)'!$F$39))</f>
        <v>3942.4377601498277</v>
      </c>
      <c r="S11" s="1323">
        <f>IF('Hipóteses xerais (2)'!$C$96="Si",('Operating Account'!S$93*12*'Hipóteses xerais (2)'!$F$39),('Operating Account'!S$76*12*'Hipóteses xerais (2)'!$F$39))</f>
        <v>4104.4357684746237</v>
      </c>
      <c r="T11" s="1323">
        <f>IF('Hipóteses xerais (2)'!$C$96="Si",('Operating Account'!T$93*12*'Hipóteses xerais (2)'!$F$39),('Operating Account'!T$76*12*'Hipóteses xerais (2)'!$F$39))</f>
        <v>4271.6177130658116</v>
      </c>
      <c r="U11" s="1323">
        <f>IF('Hipóteses xerais (2)'!$C$96="Si",('Operating Account'!U$93*12*'Hipóteses xerais (2)'!$F$39),('Operating Account'!U$76*12*'Hipóteses xerais (2)'!$F$39))</f>
        <v>4444.1494798839176</v>
      </c>
      <c r="V11" s="1323">
        <f>IF('Hipóteses xerais (2)'!$C$96="Si",('Operating Account'!V$93*12*'Hipóteses xerais (2)'!$F$39),('Operating Account'!V$76*12*'Hipóteses xerais (2)'!$F$39))</f>
        <v>4622.2022632402031</v>
      </c>
      <c r="W11" s="1323">
        <f>IF('Hipóteses xerais (2)'!$C$96="Si",('Operating Account'!W$93*12*'Hipóteses xerais (2)'!$F$39),('Operating Account'!W$76*12*'Hipóteses xerais (2)'!$F$39))</f>
        <v>4805.9527356638891</v>
      </c>
      <c r="X11" s="1323">
        <f>IF('Hipóteses xerais (2)'!$C$96="Si",('Operating Account'!X$93*12*'Hipóteses xerais (2)'!$F$39),('Operating Account'!X$76*12*'Hipóteses xerais (2)'!$F$39))</f>
        <v>4995.5832232051353</v>
      </c>
      <c r="Y11" s="1323">
        <f>IF('Hipóteses xerais (2)'!$C$96="Si",('Operating Account'!Y$93*12*'Hipóteses xerais (2)'!$F$39),('Operating Account'!Y$76*12*'Hipóteses xerais (2)'!$F$39))</f>
        <v>5191.2818863476987</v>
      </c>
      <c r="Z11" s="1323">
        <f>IF('Hipóteses xerais (2)'!$C$96="Si",('Operating Account'!Z$93*12*'Hipóteses xerais (2)'!$F$39),('Operating Account'!Z$76*12*'Hipóteses xerais (2)'!$F$39))</f>
        <v>5393.242906710826</v>
      </c>
      <c r="AA11" s="1323">
        <f>IF('Hipóteses xerais (2)'!$C$96="Si",('Operating Account'!AA$93*12*'Hipóteses xerais (2)'!$F$39),('Operating Account'!AA$76*12*'Hipóteses xerais (2)'!$F$39))</f>
        <v>5601.6666797255721</v>
      </c>
      <c r="AB11" s="1323">
        <f>IF('Hipóteses xerais (2)'!$C$96="Si",('Operating Account'!AB$93*12*'Hipóteses xerais (2)'!$F$39),('Operating Account'!AB$76*12*'Hipóteses xerais (2)'!$F$39))</f>
        <v>5816.7600134767908</v>
      </c>
      <c r="AC11" s="1323">
        <f>IF('Hipóteses xerais (2)'!$C$96="Si",('Operating Account'!AC$93*12*'Hipóteses xerais (2)'!$F$39),('Operating Account'!AC$76*12*'Hipóteses xerais (2)'!$F$39))</f>
        <v>6038.7363339080466</v>
      </c>
      <c r="AD11" s="1323">
        <f>IF('Hipóteses xerais (2)'!$C$96="Si",('Operating Account'!AD$93*12*'Hipóteses xerais (2)'!$F$39),('Operating Account'!AD$76*12*'Hipóteses xerais (2)'!$F$39))</f>
        <v>6267.8158965931061</v>
      </c>
      <c r="AE11" s="1516">
        <f t="shared" si="0"/>
        <v>101972.53266512754</v>
      </c>
    </row>
    <row r="12" spans="1:32" s="63" customFormat="1" ht="29" x14ac:dyDescent="0.35">
      <c r="B12">
        <v>7050050</v>
      </c>
      <c r="C12" s="1511" t="str">
        <f>VLOOKUP("Ingresos por Prestación Doutros Servizos Complementarios aos Socios",tabIdiomas26[],MATCH('Indiv. Invoices Comparison'!$J$2,tabIdiomas26[#Headers]),FALSE)</f>
        <v>Income Deriving from Other Complementary Services provided to the Partners</v>
      </c>
      <c r="D12" s="1510">
        <f>'Estim. Ingresos'!$D36</f>
        <v>0</v>
      </c>
      <c r="E12" s="1510"/>
      <c r="F12" s="1510">
        <f>D12</f>
        <v>0</v>
      </c>
      <c r="G12" s="1510">
        <f>F12*(1+'Hipóteses 2'!$H$7)*(1+'Hipóteses xerais (2)'!$C$47)</f>
        <v>0</v>
      </c>
      <c r="H12" s="1510">
        <f>G12*(1+'Hipóteses 2'!$H$7)*(1+'Hipóteses xerais (2)'!$C$47)</f>
        <v>0</v>
      </c>
      <c r="I12" s="1510">
        <f>H12*(1+'Hipóteses 2'!$H$7)*(1+'Hipóteses xerais (2)'!$C$47)</f>
        <v>0</v>
      </c>
      <c r="J12" s="1510">
        <f>I12*(1+'Hipóteses 2'!$H$7)*(1+'Hipóteses xerais (2)'!$C$47)</f>
        <v>0</v>
      </c>
      <c r="K12" s="1510">
        <f>J12*(1+'Hipóteses 2'!$H$7)*(1+'Hipóteses xerais (2)'!$C$47)</f>
        <v>0</v>
      </c>
      <c r="L12" s="1510">
        <f>K12*(1+'Hipóteses 2'!$H$7)*(1+'Hipóteses xerais (2)'!$C$47)</f>
        <v>0</v>
      </c>
      <c r="M12" s="1510">
        <f>L12*(1+'Hipóteses 2'!$H$7)*(1+'Hipóteses xerais (2)'!$C$47)</f>
        <v>0</v>
      </c>
      <c r="N12" s="1510">
        <f>M12*(1+'Hipóteses 2'!$H$7)*(1+'Hipóteses xerais (2)'!$C$47)</f>
        <v>0</v>
      </c>
      <c r="O12" s="1510">
        <f>N12*(1+'Hipóteses 2'!$H$7)*(1+'Hipóteses xerais (2)'!$C$47)</f>
        <v>0</v>
      </c>
      <c r="P12" s="1510">
        <f>O12*(1+'Hipóteses 2'!$H$7)*(1+'Hipóteses xerais (2)'!$C$47)</f>
        <v>0</v>
      </c>
      <c r="Q12" s="1510">
        <f>P12*(1+'Hipóteses 2'!$H$7)*(1+'Hipóteses xerais (2)'!$C$47)</f>
        <v>0</v>
      </c>
      <c r="R12" s="1510">
        <f>Q12*(1+'Hipóteses 2'!$H$7)*(1+'Hipóteses xerais (2)'!$C$47)</f>
        <v>0</v>
      </c>
      <c r="S12" s="1510">
        <f>R12*(1+'Hipóteses 2'!$H$7)*(1+'Hipóteses xerais (2)'!$C$47)</f>
        <v>0</v>
      </c>
      <c r="T12" s="1510">
        <f>S12*(1+'Hipóteses 2'!$H$7)*(1+'Hipóteses xerais (2)'!$C$47)</f>
        <v>0</v>
      </c>
      <c r="U12" s="1510">
        <f>T12*(1+'Hipóteses 2'!$H$7)*(1+'Hipóteses xerais (2)'!$C$47)</f>
        <v>0</v>
      </c>
      <c r="V12" s="1510">
        <f>U12*(1+'Hipóteses 2'!$H$7)*(1+'Hipóteses xerais (2)'!$C$47)</f>
        <v>0</v>
      </c>
      <c r="W12" s="1510">
        <f>V12*(1+'Hipóteses 2'!$H$7)*(1+'Hipóteses xerais (2)'!$C$47)</f>
        <v>0</v>
      </c>
      <c r="X12" s="1510">
        <f>W12*(1+'Hipóteses 2'!$H$7)*(1+'Hipóteses xerais (2)'!$C$47)</f>
        <v>0</v>
      </c>
      <c r="Y12" s="1510">
        <f>X12*(1+'Hipóteses 2'!$H$7)*(1+'Hipóteses xerais (2)'!$C$47)</f>
        <v>0</v>
      </c>
      <c r="Z12" s="1510">
        <f>Y12*(1+'Hipóteses 2'!$H$7)*(1+'Hipóteses xerais (2)'!$C$47)</f>
        <v>0</v>
      </c>
      <c r="AA12" s="1510">
        <f>Z12*(1+'Hipóteses 2'!$H$7)*(1+'Hipóteses xerais (2)'!$C$47)</f>
        <v>0</v>
      </c>
      <c r="AB12" s="1510">
        <f>AA12*(1+'Hipóteses 2'!$H$7)*(1+'Hipóteses xerais (2)'!$C$47)</f>
        <v>0</v>
      </c>
      <c r="AC12" s="1510">
        <f>AB12*(1+'Hipóteses 2'!$H$7)*(1+'Hipóteses xerais (2)'!$C$47)</f>
        <v>0</v>
      </c>
      <c r="AD12" s="1510">
        <f>AC12*(1+'Hipóteses 2'!$H$7)*(1+'Hipóteses xerais (2)'!$C$47)</f>
        <v>0</v>
      </c>
      <c r="AE12" s="1515">
        <f t="shared" si="0"/>
        <v>0</v>
      </c>
    </row>
    <row r="13" spans="1:32" s="177" customFormat="1" ht="29" x14ac:dyDescent="0.35">
      <c r="A13" s="724"/>
      <c r="C13" s="1514" t="str">
        <f>VLOOKUP("Total Ingresos por Cotas de Socios e Outros Servizos Complementarios",tabIdiomas26[],MATCH('Indiv. Invoices Comparison'!$J$2,tabIdiomas26[#Headers]),FALSE)</f>
        <v>Total Income from Membership Fees and Other Complementary Services</v>
      </c>
      <c r="D13" s="1513">
        <f t="shared" ref="D13:AD13" si="1">SUM(D10:D12)</f>
        <v>2470.4699999999998</v>
      </c>
      <c r="E13" s="1513">
        <f t="shared" si="1"/>
        <v>0</v>
      </c>
      <c r="F13" s="1513">
        <f t="shared" si="1"/>
        <v>2470.4699999999998</v>
      </c>
      <c r="G13" s="1513">
        <f t="shared" si="1"/>
        <v>2460</v>
      </c>
      <c r="H13" s="1513">
        <f t="shared" si="1"/>
        <v>2574.5599999999995</v>
      </c>
      <c r="I13" s="1513">
        <f t="shared" si="1"/>
        <v>2692.7859200000003</v>
      </c>
      <c r="J13" s="1513">
        <f t="shared" si="1"/>
        <v>2814.7950694400001</v>
      </c>
      <c r="K13" s="1513">
        <f t="shared" si="1"/>
        <v>2940.7085116620801</v>
      </c>
      <c r="L13" s="1513">
        <f t="shared" si="1"/>
        <v>3070.6511840352669</v>
      </c>
      <c r="M13" s="1513">
        <f t="shared" si="1"/>
        <v>3204.7520219243952</v>
      </c>
      <c r="N13" s="1513">
        <f t="shared" si="1"/>
        <v>3343.1440866259768</v>
      </c>
      <c r="O13" s="1513">
        <f t="shared" si="1"/>
        <v>3485.9646973980075</v>
      </c>
      <c r="P13" s="1513">
        <f t="shared" si="1"/>
        <v>3633.3555677147442</v>
      </c>
      <c r="Q13" s="1513">
        <f t="shared" si="1"/>
        <v>3785.4629458816171</v>
      </c>
      <c r="R13" s="1513">
        <f t="shared" si="1"/>
        <v>3942.4377601498277</v>
      </c>
      <c r="S13" s="1513">
        <f t="shared" si="1"/>
        <v>4104.4357684746237</v>
      </c>
      <c r="T13" s="1513">
        <f t="shared" si="1"/>
        <v>4271.6177130658116</v>
      </c>
      <c r="U13" s="1513">
        <f t="shared" si="1"/>
        <v>4444.1494798839176</v>
      </c>
      <c r="V13" s="1513">
        <f t="shared" si="1"/>
        <v>4622.2022632402031</v>
      </c>
      <c r="W13" s="1513">
        <f t="shared" si="1"/>
        <v>4805.9527356638891</v>
      </c>
      <c r="X13" s="1513">
        <f t="shared" si="1"/>
        <v>4995.5832232051353</v>
      </c>
      <c r="Y13" s="1513">
        <f t="shared" si="1"/>
        <v>5191.2818863476987</v>
      </c>
      <c r="Z13" s="1513">
        <f t="shared" si="1"/>
        <v>5393.242906710826</v>
      </c>
      <c r="AA13" s="1513">
        <f t="shared" si="1"/>
        <v>5601.6666797255721</v>
      </c>
      <c r="AB13" s="1513">
        <f t="shared" si="1"/>
        <v>5816.7600134767908</v>
      </c>
      <c r="AC13" s="1513">
        <f t="shared" si="1"/>
        <v>6038.7363339080466</v>
      </c>
      <c r="AD13" s="1513">
        <f t="shared" si="1"/>
        <v>6267.8158965931061</v>
      </c>
      <c r="AE13" s="1512">
        <f t="shared" si="0"/>
        <v>101972.53266512754</v>
      </c>
      <c r="AF13" s="178"/>
    </row>
    <row r="14" spans="1:32" s="10" customFormat="1" ht="29" x14ac:dyDescent="0.35">
      <c r="A14" s="721"/>
      <c r="B14" s="10">
        <v>746</v>
      </c>
      <c r="C14" s="1511" t="str">
        <f>VLOOKUP("Subvencións de Capital Transferidas ao Resultado do Exercicio (Imputación Anual)",tabIdiomas26[],MATCH('Indiv. Invoices Comparison'!$J$2,tabIdiomas26[#Headers]),FALSE)</f>
        <v>Capital Grants Transferred to the Financial Year Result (Annual Attribution)</v>
      </c>
      <c r="D14" s="1510">
        <f>IF('Hipóteses xerais (2)'!$E$64="Si",'Hipóteses xerais (2)'!$C$65,0)</f>
        <v>1680</v>
      </c>
      <c r="E14" s="1510"/>
      <c r="F14" s="1510">
        <f>IF('Hipóteses xerais (2)'!$E$64="Si",'Hipóteses xerais (2)'!$C$65,0)</f>
        <v>1680</v>
      </c>
      <c r="G14" s="1510">
        <f>IF('Hipóteses xerais (2)'!$E$64="Si",'Hipóteses xerais (2)'!$C$65,0)</f>
        <v>1680</v>
      </c>
      <c r="H14" s="1510">
        <f>IF('Hipóteses xerais (2)'!$E$64="Si",'Hipóteses xerais (2)'!$C$65,0)</f>
        <v>1680</v>
      </c>
      <c r="I14" s="1510">
        <f>IF('Hipóteses xerais (2)'!$E$64="Si",'Hipóteses xerais (2)'!$C$65,0)</f>
        <v>1680</v>
      </c>
      <c r="J14" s="1510">
        <f>IF('Hipóteses xerais (2)'!$E$64="Si",'Hipóteses xerais (2)'!$C$65,0)</f>
        <v>1680</v>
      </c>
      <c r="K14" s="1510">
        <f>IF('Hipóteses xerais (2)'!$E$64="Si",'Hipóteses xerais (2)'!$C$65,0)</f>
        <v>1680</v>
      </c>
      <c r="L14" s="1510">
        <f>IF('Hipóteses xerais (2)'!$E$64="Si",'Hipóteses xerais (2)'!$C$65,0)</f>
        <v>1680</v>
      </c>
      <c r="M14" s="1510">
        <f>IF('Hipóteses xerais (2)'!$E$64="Si",'Hipóteses xerais (2)'!$C$65,0)</f>
        <v>1680</v>
      </c>
      <c r="N14" s="1510">
        <f>IF('Hipóteses xerais (2)'!$E$64="Si",'Hipóteses xerais (2)'!$C$65,0)</f>
        <v>1680</v>
      </c>
      <c r="O14" s="1510">
        <f>IF('Hipóteses xerais (2)'!$E$64="Si",'Hipóteses xerais (2)'!$C$65,0)</f>
        <v>1680</v>
      </c>
      <c r="P14" s="1510">
        <f>IF('Hipóteses xerais (2)'!$E$64="Si",'Hipóteses xerais (2)'!$C$65,0)</f>
        <v>1680</v>
      </c>
      <c r="Q14" s="1510">
        <f>IF('Hipóteses xerais (2)'!$E$64="Si",'Hipóteses xerais (2)'!$C$65,0)</f>
        <v>1680</v>
      </c>
      <c r="R14" s="1510">
        <f>IF('Hipóteses xerais (2)'!$E$64="Si",'Hipóteses xerais (2)'!$C$65,0)</f>
        <v>1680</v>
      </c>
      <c r="S14" s="1510">
        <f>IF('Hipóteses xerais (2)'!$E$64="Si",'Hipóteses xerais (2)'!$C$65,0)</f>
        <v>1680</v>
      </c>
      <c r="T14" s="1510">
        <f>IF('Hipóteses xerais (2)'!$E$64="Si",'Hipóteses xerais (2)'!$C$65,0)</f>
        <v>1680</v>
      </c>
      <c r="U14" s="1510">
        <f>IF('Hipóteses xerais (2)'!$E$64="Si",'Hipóteses xerais (2)'!$C$65,0)</f>
        <v>1680</v>
      </c>
      <c r="V14" s="1510">
        <f>IF('Hipóteses xerais (2)'!$E$64="Si",'Hipóteses xerais (2)'!$C$65,0)</f>
        <v>1680</v>
      </c>
      <c r="W14" s="1510">
        <f>IF('Hipóteses xerais (2)'!$E$64="Si",'Hipóteses xerais (2)'!$C$65,0)</f>
        <v>1680</v>
      </c>
      <c r="X14" s="1510">
        <f>IF('Hipóteses xerais (2)'!$E$64="Si",'Hipóteses xerais (2)'!$C$65,0)</f>
        <v>1680</v>
      </c>
      <c r="Y14" s="1510">
        <f>IF('Hipóteses xerais (2)'!$E$64="Si",'Hipóteses xerais (2)'!$C$65,0)</f>
        <v>1680</v>
      </c>
      <c r="Z14" s="1510">
        <f>IF('Hipóteses xerais (2)'!$E$64="Si",'Hipóteses xerais (2)'!$C$65,0)</f>
        <v>1680</v>
      </c>
      <c r="AA14" s="1510">
        <f>IF('Hipóteses xerais (2)'!$E$64="Si",'Hipóteses xerais (2)'!$C$65,0)</f>
        <v>1680</v>
      </c>
      <c r="AB14" s="1510">
        <f>IF('Hipóteses xerais (2)'!$E$64="Si",'Hipóteses xerais (2)'!$C$65,0)</f>
        <v>1680</v>
      </c>
      <c r="AC14" s="1510">
        <f>IF('Hipóteses xerais (2)'!$E$64="Si",'Hipóteses xerais (2)'!$C$65,0)</f>
        <v>1680</v>
      </c>
      <c r="AD14" s="1510">
        <f>IF('Hipóteses xerais (2)'!$E$64="Si",'Hipóteses xerais (2)'!$C$65,0)</f>
        <v>1680</v>
      </c>
      <c r="AE14" s="1509">
        <f t="shared" si="0"/>
        <v>42000</v>
      </c>
      <c r="AF14" s="626"/>
    </row>
    <row r="15" spans="1:32" s="13" customFormat="1" ht="15" thickBot="1" x14ac:dyDescent="0.4">
      <c r="A15" s="179">
        <f>SUM(F13:AD13)</f>
        <v>101972.53266512754</v>
      </c>
      <c r="C15" s="1508" t="str">
        <f>VLOOKUP("Total Ingresos de Explotación",tabIdiomas26[],MATCH('Indiv. Invoices Comparison'!$J$2,tabIdiomas26[#Headers]),FALSE)</f>
        <v>Total Operating Income</v>
      </c>
      <c r="D15" s="1507">
        <f t="shared" ref="D15:AD15" si="2">D9+D13+D14</f>
        <v>10849.47</v>
      </c>
      <c r="E15" s="1507">
        <f t="shared" si="2"/>
        <v>0</v>
      </c>
      <c r="F15" s="1507">
        <f t="shared" si="2"/>
        <v>10849.47</v>
      </c>
      <c r="G15" s="1507">
        <f t="shared" si="2"/>
        <v>11046.669</v>
      </c>
      <c r="H15" s="1507">
        <f t="shared" si="2"/>
        <v>11375.335738999998</v>
      </c>
      <c r="I15" s="1507">
        <f t="shared" si="2"/>
        <v>11714.305706908999</v>
      </c>
      <c r="J15" s="1507">
        <f t="shared" si="2"/>
        <v>12063.901969743178</v>
      </c>
      <c r="K15" s="1507">
        <f t="shared" si="2"/>
        <v>12424.457725874654</v>
      </c>
      <c r="L15" s="1507">
        <f t="shared" si="2"/>
        <v>12796.31662388843</v>
      </c>
      <c r="M15" s="1507">
        <f t="shared" si="2"/>
        <v>13179.833090413005</v>
      </c>
      <c r="N15" s="1507">
        <f t="shared" si="2"/>
        <v>13575.372668237733</v>
      </c>
      <c r="O15" s="1507">
        <f t="shared" si="2"/>
        <v>13983.312365039727</v>
      </c>
      <c r="P15" s="1507">
        <f t="shared" si="2"/>
        <v>14404.041013053356</v>
      </c>
      <c r="Q15" s="1507">
        <f t="shared" si="2"/>
        <v>14837.959640025725</v>
      </c>
      <c r="R15" s="1507">
        <f t="shared" si="2"/>
        <v>15285.481851812401</v>
      </c>
      <c r="S15" s="1507">
        <f t="shared" si="2"/>
        <v>15747.034226978736</v>
      </c>
      <c r="T15" s="1507">
        <f t="shared" si="2"/>
        <v>16223.056723783553</v>
      </c>
      <c r="U15" s="1507">
        <f t="shared" si="2"/>
        <v>16714.003099933907</v>
      </c>
      <c r="V15" s="1507">
        <f t="shared" si="2"/>
        <v>17220.341345511741</v>
      </c>
      <c r="W15" s="1507">
        <f t="shared" si="2"/>
        <v>17742.554129485845</v>
      </c>
      <c r="X15" s="1507">
        <f t="shared" si="2"/>
        <v>18281.13926023557</v>
      </c>
      <c r="Y15" s="1507">
        <f t="shared" si="2"/>
        <v>18836.610160526077</v>
      </c>
      <c r="Z15" s="1507">
        <f t="shared" si="2"/>
        <v>19409.496357388729</v>
      </c>
      <c r="AA15" s="1507">
        <f t="shared" si="2"/>
        <v>20000.34398737449</v>
      </c>
      <c r="AB15" s="1507">
        <f t="shared" si="2"/>
        <v>20609.716317662824</v>
      </c>
      <c r="AC15" s="1507">
        <f t="shared" si="2"/>
        <v>21238.194283523848</v>
      </c>
      <c r="AD15" s="1507">
        <f t="shared" si="2"/>
        <v>21886.377042646996</v>
      </c>
      <c r="AE15" s="1506">
        <f t="shared" si="0"/>
        <v>391445.32432904956</v>
      </c>
      <c r="AF15" s="179"/>
    </row>
    <row r="16" spans="1:32" ht="15.5" thickTop="1" thickBot="1" x14ac:dyDescent="0.4">
      <c r="A16">
        <v>0.05</v>
      </c>
      <c r="B16" s="13"/>
      <c r="C16" s="1505" t="str">
        <f>VLOOKUP("GASTOS",tabIdiomas26[],MATCH('Indiv. Invoices Comparison'!$J$2,tabIdiomas26[#Headers]),FALSE)</f>
        <v>EXPENSES</v>
      </c>
      <c r="D16" s="1504"/>
      <c r="E16" s="1504"/>
      <c r="F16" s="1503">
        <v>2025</v>
      </c>
      <c r="G16" s="1503">
        <v>2026</v>
      </c>
      <c r="H16" s="1503">
        <v>2027</v>
      </c>
      <c r="I16" s="1503">
        <v>2028</v>
      </c>
      <c r="J16" s="1503">
        <v>2029</v>
      </c>
      <c r="K16" s="1503">
        <v>2030</v>
      </c>
      <c r="L16" s="1503">
        <v>2031</v>
      </c>
      <c r="M16" s="1503">
        <v>2032</v>
      </c>
      <c r="N16" s="1503">
        <v>2033</v>
      </c>
      <c r="O16" s="1503">
        <v>2034</v>
      </c>
      <c r="P16" s="1503">
        <v>2035</v>
      </c>
      <c r="Q16" s="1503">
        <v>2036</v>
      </c>
      <c r="R16" s="1503">
        <v>2037</v>
      </c>
      <c r="S16" s="1503">
        <v>2038</v>
      </c>
      <c r="T16" s="1503">
        <v>2039</v>
      </c>
      <c r="U16" s="1503">
        <v>2040</v>
      </c>
      <c r="V16" s="1503">
        <v>2041</v>
      </c>
      <c r="W16" s="1503">
        <v>2042</v>
      </c>
      <c r="X16" s="1503">
        <v>2043</v>
      </c>
      <c r="Y16" s="1503">
        <v>2044</v>
      </c>
      <c r="Z16" s="1503">
        <v>2045</v>
      </c>
      <c r="AA16" s="1503">
        <v>2046</v>
      </c>
      <c r="AB16" s="1503">
        <v>2047</v>
      </c>
      <c r="AC16" s="1503">
        <v>2048</v>
      </c>
      <c r="AD16" s="1503">
        <v>2049</v>
      </c>
      <c r="AE16" s="1502" t="str">
        <f>VLOOKUP("Vida Completa do Proxecto",tabIdiomas26[],MATCH('Indiv. Invoices Comparison'!$J$2,tabIdiomas26[#Headers]),FALSE)</f>
        <v>Complete Project Lifetime</v>
      </c>
    </row>
    <row r="17" spans="2:31" ht="15" hidden="1" thickTop="1" x14ac:dyDescent="0.35">
      <c r="B17">
        <v>602</v>
      </c>
      <c r="C17" s="716" t="s">
        <v>212</v>
      </c>
      <c r="D17" s="150">
        <f>'Estim. Gastos'!$F$7</f>
        <v>0</v>
      </c>
      <c r="E17" s="150"/>
      <c r="F17" s="713">
        <f>D17</f>
        <v>0</v>
      </c>
      <c r="G17" s="713">
        <f>F17</f>
        <v>0</v>
      </c>
      <c r="H17" s="713">
        <f>G17*(1+'Hipóteses xerais (2)'!$C$40)</f>
        <v>0</v>
      </c>
      <c r="I17" s="713">
        <f>H17*(1+'Hipóteses xerais (2)'!$C$40)</f>
        <v>0</v>
      </c>
      <c r="J17" s="713">
        <f>I17*(1+'Hipóteses xerais (2)'!$C$40)</f>
        <v>0</v>
      </c>
      <c r="K17" s="713">
        <f>J17*(1+'Hipóteses xerais (2)'!$C$40)</f>
        <v>0</v>
      </c>
      <c r="L17" s="713">
        <f>K17*(1+'Hipóteses xerais (2)'!$C$40)</f>
        <v>0</v>
      </c>
      <c r="M17" s="713">
        <f>L17*(1+'Hipóteses xerais (2)'!$C$40)</f>
        <v>0</v>
      </c>
      <c r="N17" s="713">
        <f>M17*(1+'Hipóteses xerais (2)'!$C$40)</f>
        <v>0</v>
      </c>
      <c r="O17" s="713">
        <f>N17*(1+'Hipóteses xerais (2)'!$C$40)</f>
        <v>0</v>
      </c>
      <c r="P17" s="713">
        <f>O17*(1+'Hipóteses xerais (2)'!$C$40)</f>
        <v>0</v>
      </c>
      <c r="Q17" s="713">
        <f>P17*(1+'Hipóteses xerais (2)'!$C$40)</f>
        <v>0</v>
      </c>
      <c r="R17" s="713">
        <f>Q17*(1+'Hipóteses xerais (2)'!$C$40)</f>
        <v>0</v>
      </c>
      <c r="S17" s="713">
        <f>R17*(1+'Hipóteses xerais (2)'!$C$40)</f>
        <v>0</v>
      </c>
      <c r="T17" s="713">
        <f>S17*(1+'Hipóteses xerais (2)'!$C$40)</f>
        <v>0</v>
      </c>
      <c r="U17" s="713">
        <f>T17*(1+'Hipóteses xerais (2)'!$C$40)</f>
        <v>0</v>
      </c>
      <c r="V17" s="713">
        <f>U17*(1+'Hipóteses xerais (2)'!$C$40)</f>
        <v>0</v>
      </c>
      <c r="W17" s="713">
        <f>V17*(1+'Hipóteses xerais (2)'!$C$40)</f>
        <v>0</v>
      </c>
      <c r="X17" s="713">
        <f>W17*(1+'Hipóteses xerais (2)'!$C$40)</f>
        <v>0</v>
      </c>
      <c r="Y17" s="713">
        <f>X17*(1+'Hipóteses xerais (2)'!$C$40)</f>
        <v>0</v>
      </c>
      <c r="Z17" s="713">
        <f>Y17*(1+'Hipóteses xerais (2)'!$C$40)</f>
        <v>0</v>
      </c>
      <c r="AA17" s="713">
        <f>Z17*(1+'Hipóteses xerais (2)'!$C$40)</f>
        <v>0</v>
      </c>
      <c r="AB17" s="713">
        <f>AA17*(1+'Hipóteses xerais (2)'!$C$40)</f>
        <v>0</v>
      </c>
      <c r="AC17" s="713">
        <f>AB17*(1+'Hipóteses xerais (2)'!$C$40)</f>
        <v>0</v>
      </c>
      <c r="AD17" s="713">
        <f>AC17*(1+'Hipóteses xerais (2)'!$C$40)</f>
        <v>0</v>
      </c>
      <c r="AE17" s="715">
        <f t="shared" ref="AE17:AE50" si="3">SUM(F17:AD17)</f>
        <v>0</v>
      </c>
    </row>
    <row r="18" spans="2:31" ht="15" hidden="1" thickTop="1" x14ac:dyDescent="0.35">
      <c r="B18">
        <v>607</v>
      </c>
      <c r="C18" s="714" t="s">
        <v>266</v>
      </c>
      <c r="D18" s="150">
        <f>'Estim. Gastos'!F13</f>
        <v>0</v>
      </c>
      <c r="E18" s="150"/>
      <c r="F18" s="713">
        <f>D18</f>
        <v>0</v>
      </c>
      <c r="G18" s="713">
        <f>F18</f>
        <v>0</v>
      </c>
      <c r="H18" s="713">
        <f>G18*(1+'Hipóteses xerais (2)'!$C$40)</f>
        <v>0</v>
      </c>
      <c r="I18" s="713">
        <f>H18*(1+'Hipóteses xerais (2)'!$C$40)</f>
        <v>0</v>
      </c>
      <c r="J18" s="713">
        <f>I18*(1+'Hipóteses xerais (2)'!$C$40)</f>
        <v>0</v>
      </c>
      <c r="K18" s="713">
        <f>J18*(1+'Hipóteses xerais (2)'!$C$40)</f>
        <v>0</v>
      </c>
      <c r="L18" s="713">
        <f>K18*(1+'Hipóteses xerais (2)'!$C$40)</f>
        <v>0</v>
      </c>
      <c r="M18" s="713">
        <f>L18*(1+'Hipóteses xerais (2)'!$C$40)</f>
        <v>0</v>
      </c>
      <c r="N18" s="713">
        <f>M18*(1+'Hipóteses xerais (2)'!$C$40)</f>
        <v>0</v>
      </c>
      <c r="O18" s="713">
        <f>N18*(1+'Hipóteses xerais (2)'!$C$40)</f>
        <v>0</v>
      </c>
      <c r="P18" s="713">
        <f>O18*(1+'Hipóteses xerais (2)'!$C$40)</f>
        <v>0</v>
      </c>
      <c r="Q18" s="713">
        <f>P18*(1+'Hipóteses xerais (2)'!$C$40)</f>
        <v>0</v>
      </c>
      <c r="R18" s="713">
        <f>Q18*(1+'Hipóteses xerais (2)'!$C$40)</f>
        <v>0</v>
      </c>
      <c r="S18" s="713">
        <f>R18*(1+'Hipóteses xerais (2)'!$C$40)</f>
        <v>0</v>
      </c>
      <c r="T18" s="713">
        <f>S18*(1+'Hipóteses xerais (2)'!$C$40)</f>
        <v>0</v>
      </c>
      <c r="U18" s="713">
        <f>T18*(1+'Hipóteses xerais (2)'!$C$40)</f>
        <v>0</v>
      </c>
      <c r="V18" s="713">
        <f>U18*(1+'Hipóteses xerais (2)'!$C$40)</f>
        <v>0</v>
      </c>
      <c r="W18" s="713">
        <f>V18*(1+'Hipóteses xerais (2)'!$C$40)</f>
        <v>0</v>
      </c>
      <c r="X18" s="713">
        <f>W18*(1+'Hipóteses xerais (2)'!$C$40)</f>
        <v>0</v>
      </c>
      <c r="Y18" s="713">
        <f>X18*(1+'Hipóteses xerais (2)'!$C$40)</f>
        <v>0</v>
      </c>
      <c r="Z18" s="713">
        <f>Y18*(1+'Hipóteses xerais (2)'!$C$40)</f>
        <v>0</v>
      </c>
      <c r="AA18" s="713">
        <f>Z18*(1+'Hipóteses xerais (2)'!$C$40)</f>
        <v>0</v>
      </c>
      <c r="AB18" s="713">
        <f>AA18*(1+'Hipóteses xerais (2)'!$C$40)</f>
        <v>0</v>
      </c>
      <c r="AC18" s="713">
        <f>AB18*(1+'Hipóteses xerais (2)'!$C$40)</f>
        <v>0</v>
      </c>
      <c r="AD18" s="713">
        <f>AC18*(1+'Hipóteses xerais (2)'!$C$40)</f>
        <v>0</v>
      </c>
      <c r="AE18" s="653">
        <f t="shared" si="3"/>
        <v>0</v>
      </c>
    </row>
    <row r="19" spans="2:31" s="13" customFormat="1" ht="15" thickTop="1" x14ac:dyDescent="0.35">
      <c r="B19" s="13">
        <v>60</v>
      </c>
      <c r="C19" s="1501" t="str">
        <f>VLOOKUP("Compras de Materiais e Servizos",tabIdiomas26[],MATCH('Indiv. Invoices Comparison'!$J$2,tabIdiomas26[#Headers]),FALSE)</f>
        <v>Materials and Services Purchases</v>
      </c>
      <c r="D19" s="1499">
        <f t="shared" ref="D19:AD19" si="4">SUM(D17:D18)</f>
        <v>0</v>
      </c>
      <c r="E19" s="1499">
        <f t="shared" si="4"/>
        <v>0</v>
      </c>
      <c r="F19" s="1499">
        <f t="shared" si="4"/>
        <v>0</v>
      </c>
      <c r="G19" s="1499">
        <f t="shared" si="4"/>
        <v>0</v>
      </c>
      <c r="H19" s="1499">
        <f t="shared" si="4"/>
        <v>0</v>
      </c>
      <c r="I19" s="1499">
        <f t="shared" si="4"/>
        <v>0</v>
      </c>
      <c r="J19" s="1499">
        <f t="shared" si="4"/>
        <v>0</v>
      </c>
      <c r="K19" s="1499">
        <f t="shared" si="4"/>
        <v>0</v>
      </c>
      <c r="L19" s="1499">
        <f t="shared" si="4"/>
        <v>0</v>
      </c>
      <c r="M19" s="1499">
        <f t="shared" si="4"/>
        <v>0</v>
      </c>
      <c r="N19" s="1499">
        <f t="shared" si="4"/>
        <v>0</v>
      </c>
      <c r="O19" s="1499">
        <f t="shared" si="4"/>
        <v>0</v>
      </c>
      <c r="P19" s="1499">
        <f t="shared" si="4"/>
        <v>0</v>
      </c>
      <c r="Q19" s="1499">
        <f t="shared" si="4"/>
        <v>0</v>
      </c>
      <c r="R19" s="1499">
        <f t="shared" si="4"/>
        <v>0</v>
      </c>
      <c r="S19" s="1499">
        <f t="shared" si="4"/>
        <v>0</v>
      </c>
      <c r="T19" s="1499">
        <f t="shared" si="4"/>
        <v>0</v>
      </c>
      <c r="U19" s="1499">
        <f t="shared" si="4"/>
        <v>0</v>
      </c>
      <c r="V19" s="1499">
        <f t="shared" si="4"/>
        <v>0</v>
      </c>
      <c r="W19" s="1499">
        <f t="shared" si="4"/>
        <v>0</v>
      </c>
      <c r="X19" s="1499">
        <f t="shared" si="4"/>
        <v>0</v>
      </c>
      <c r="Y19" s="1499">
        <f t="shared" si="4"/>
        <v>0</v>
      </c>
      <c r="Z19" s="1499">
        <f t="shared" si="4"/>
        <v>0</v>
      </c>
      <c r="AA19" s="1499">
        <f t="shared" si="4"/>
        <v>0</v>
      </c>
      <c r="AB19" s="1499">
        <f t="shared" si="4"/>
        <v>0</v>
      </c>
      <c r="AC19" s="1499">
        <f t="shared" si="4"/>
        <v>0</v>
      </c>
      <c r="AD19" s="1499">
        <f t="shared" si="4"/>
        <v>0</v>
      </c>
      <c r="AE19" s="1498">
        <f t="shared" si="3"/>
        <v>0</v>
      </c>
    </row>
    <row r="20" spans="2:31" hidden="1" x14ac:dyDescent="0.35">
      <c r="B20">
        <v>640</v>
      </c>
      <c r="C20" s="171" t="s">
        <v>904</v>
      </c>
      <c r="D20" s="150">
        <f>'Estim. Gastos'!$F$17</f>
        <v>0</v>
      </c>
      <c r="E20" s="150"/>
      <c r="F20" s="150">
        <f>D20</f>
        <v>0</v>
      </c>
      <c r="G20" s="150">
        <f>F20</f>
        <v>0</v>
      </c>
      <c r="H20" s="150">
        <f>G20*(1+'Hipóteses xerais (2)'!$C$40)</f>
        <v>0</v>
      </c>
      <c r="I20" s="150">
        <f>H20*(1+'Hipóteses xerais (2)'!$C$40)</f>
        <v>0</v>
      </c>
      <c r="J20" s="150">
        <f>I20*(1+'Hipóteses xerais (2)'!$C$40)</f>
        <v>0</v>
      </c>
      <c r="K20" s="150">
        <f>J20*(1+'Hipóteses xerais (2)'!$C$40)</f>
        <v>0</v>
      </c>
      <c r="L20" s="150">
        <f>K20*(1+'Hipóteses xerais (2)'!$C$40)</f>
        <v>0</v>
      </c>
      <c r="M20" s="150">
        <f>L20*(1+'Hipóteses xerais (2)'!$C$40)</f>
        <v>0</v>
      </c>
      <c r="N20" s="150">
        <f>M20*(1+'Hipóteses xerais (2)'!$C$40)</f>
        <v>0</v>
      </c>
      <c r="O20" s="150">
        <f>N20*(1+'Hipóteses xerais (2)'!$C$40)</f>
        <v>0</v>
      </c>
      <c r="P20" s="150">
        <f>O20*(1+'Hipóteses xerais (2)'!$C$40)</f>
        <v>0</v>
      </c>
      <c r="Q20" s="150">
        <f>P20*(1+'Hipóteses xerais (2)'!$C$40)</f>
        <v>0</v>
      </c>
      <c r="R20" s="150">
        <f>Q20*(1+'Hipóteses xerais (2)'!$C$40)</f>
        <v>0</v>
      </c>
      <c r="S20" s="150">
        <f>R20*(1+'Hipóteses xerais (2)'!$C$40)</f>
        <v>0</v>
      </c>
      <c r="T20" s="150">
        <f>S20*(1+'Hipóteses xerais (2)'!$C$40)</f>
        <v>0</v>
      </c>
      <c r="U20" s="150">
        <f>T20*(1+'Hipóteses xerais (2)'!$C$40)</f>
        <v>0</v>
      </c>
      <c r="V20" s="150">
        <f>U20*(1+'Hipóteses xerais (2)'!$C$40)</f>
        <v>0</v>
      </c>
      <c r="W20" s="150">
        <f>V20*(1+'Hipóteses xerais (2)'!$C$40)</f>
        <v>0</v>
      </c>
      <c r="X20" s="150">
        <f>W20*(1+'Hipóteses xerais (2)'!$C$40)</f>
        <v>0</v>
      </c>
      <c r="Y20" s="150">
        <f>X20*(1+'Hipóteses xerais (2)'!$C$40)</f>
        <v>0</v>
      </c>
      <c r="Z20" s="150">
        <f>Y20*(1+'Hipóteses xerais (2)'!$C$40)</f>
        <v>0</v>
      </c>
      <c r="AA20" s="150">
        <f>Z20*(1+'Hipóteses xerais (2)'!$C$40)</f>
        <v>0</v>
      </c>
      <c r="AB20" s="150">
        <f>AA20*(1+'Hipóteses xerais (2)'!$C$40)</f>
        <v>0</v>
      </c>
      <c r="AC20" s="150">
        <f>AB20*(1+'Hipóteses xerais (2)'!$C$40)</f>
        <v>0</v>
      </c>
      <c r="AD20" s="150">
        <f>AC20*(1+'Hipóteses xerais (2)'!$C$40)</f>
        <v>0</v>
      </c>
      <c r="AE20" s="653">
        <f t="shared" si="3"/>
        <v>0</v>
      </c>
    </row>
    <row r="21" spans="2:31" hidden="1" x14ac:dyDescent="0.35">
      <c r="B21">
        <v>642</v>
      </c>
      <c r="C21" s="171" t="s">
        <v>283</v>
      </c>
      <c r="D21" s="150">
        <f>'Estim. Gastos'!$F$18</f>
        <v>0</v>
      </c>
      <c r="E21" s="150"/>
      <c r="F21" s="150">
        <f>D21</f>
        <v>0</v>
      </c>
      <c r="G21" s="150">
        <f>F21</f>
        <v>0</v>
      </c>
      <c r="H21" s="150">
        <f>G21*(1+'Hipóteses xerais (2)'!$C$40)</f>
        <v>0</v>
      </c>
      <c r="I21" s="150">
        <f>H21*(1+'Hipóteses xerais (2)'!$C$40)</f>
        <v>0</v>
      </c>
      <c r="J21" s="150">
        <f>I21*(1+'Hipóteses xerais (2)'!$C$40)</f>
        <v>0</v>
      </c>
      <c r="K21" s="150">
        <f>J21*(1+'Hipóteses xerais (2)'!$C$40)</f>
        <v>0</v>
      </c>
      <c r="L21" s="150">
        <f>K21*(1+'Hipóteses xerais (2)'!$C$40)</f>
        <v>0</v>
      </c>
      <c r="M21" s="150">
        <f>L21*(1+'Hipóteses xerais (2)'!$C$40)</f>
        <v>0</v>
      </c>
      <c r="N21" s="150">
        <f>M21*(1+'Hipóteses xerais (2)'!$C$40)</f>
        <v>0</v>
      </c>
      <c r="O21" s="150">
        <f>N21*(1+'Hipóteses xerais (2)'!$C$40)</f>
        <v>0</v>
      </c>
      <c r="P21" s="150">
        <f>O21*(1+'Hipóteses xerais (2)'!$C$40)</f>
        <v>0</v>
      </c>
      <c r="Q21" s="150">
        <f>P21*(1+'Hipóteses xerais (2)'!$C$40)</f>
        <v>0</v>
      </c>
      <c r="R21" s="150">
        <f>Q21*(1+'Hipóteses xerais (2)'!$C$40)</f>
        <v>0</v>
      </c>
      <c r="S21" s="150">
        <f>R21*(1+'Hipóteses xerais (2)'!$C$40)</f>
        <v>0</v>
      </c>
      <c r="T21" s="150">
        <f>S21*(1+'Hipóteses xerais (2)'!$C$40)</f>
        <v>0</v>
      </c>
      <c r="U21" s="150">
        <f>T21*(1+'Hipóteses xerais (2)'!$C$40)</f>
        <v>0</v>
      </c>
      <c r="V21" s="150">
        <f>U21*(1+'Hipóteses xerais (2)'!$C$40)</f>
        <v>0</v>
      </c>
      <c r="W21" s="150">
        <f>V21*(1+'Hipóteses xerais (2)'!$C$40)</f>
        <v>0</v>
      </c>
      <c r="X21" s="150">
        <f>W21*(1+'Hipóteses xerais (2)'!$C$40)</f>
        <v>0</v>
      </c>
      <c r="Y21" s="150">
        <f>X21*(1+'Hipóteses xerais (2)'!$C$40)</f>
        <v>0</v>
      </c>
      <c r="Z21" s="150">
        <f>Y21*(1+'Hipóteses xerais (2)'!$C$40)</f>
        <v>0</v>
      </c>
      <c r="AA21" s="150">
        <f>Z21*(1+'Hipóteses xerais (2)'!$C$40)</f>
        <v>0</v>
      </c>
      <c r="AB21" s="150">
        <f>AA21*(1+'Hipóteses xerais (2)'!$C$40)</f>
        <v>0</v>
      </c>
      <c r="AC21" s="150">
        <f>AB21*(1+'Hipóteses xerais (2)'!$C$40)</f>
        <v>0</v>
      </c>
      <c r="AD21" s="150">
        <f>AC21*(1+'Hipóteses xerais (2)'!$C$40)</f>
        <v>0</v>
      </c>
      <c r="AE21" s="653">
        <f t="shared" si="3"/>
        <v>0</v>
      </c>
    </row>
    <row r="22" spans="2:31" hidden="1" x14ac:dyDescent="0.35">
      <c r="B22">
        <v>649</v>
      </c>
      <c r="C22" s="171" t="s">
        <v>286</v>
      </c>
      <c r="D22" s="150">
        <f>'Estim. Gastos'!$F$19</f>
        <v>0</v>
      </c>
      <c r="F22" s="150">
        <f>D22</f>
        <v>0</v>
      </c>
      <c r="G22" s="150">
        <f>F22</f>
        <v>0</v>
      </c>
      <c r="H22" s="150">
        <f>G22*(1+'Hipóteses xerais (2)'!$C$40)</f>
        <v>0</v>
      </c>
      <c r="I22" s="150">
        <f>H22*(1+'Hipóteses xerais (2)'!$C$40)</f>
        <v>0</v>
      </c>
      <c r="J22" s="150">
        <f>I22*(1+'Hipóteses xerais (2)'!$C$40)</f>
        <v>0</v>
      </c>
      <c r="K22" s="150">
        <f>J22*(1+'Hipóteses xerais (2)'!$C$40)</f>
        <v>0</v>
      </c>
      <c r="L22" s="150">
        <f>K22*(1+'Hipóteses xerais (2)'!$C$40)</f>
        <v>0</v>
      </c>
      <c r="M22" s="150">
        <f>L22*(1+'Hipóteses xerais (2)'!$C$40)</f>
        <v>0</v>
      </c>
      <c r="N22" s="150">
        <f>M22*(1+'Hipóteses xerais (2)'!$C$40)</f>
        <v>0</v>
      </c>
      <c r="O22" s="150">
        <f>N22*(1+'Hipóteses xerais (2)'!$C$40)</f>
        <v>0</v>
      </c>
      <c r="P22" s="150">
        <f>O22*(1+'Hipóteses xerais (2)'!$C$40)</f>
        <v>0</v>
      </c>
      <c r="Q22" s="150">
        <f>P22*(1+'Hipóteses xerais (2)'!$C$40)</f>
        <v>0</v>
      </c>
      <c r="R22" s="150">
        <f>Q22*(1+'Hipóteses xerais (2)'!$C$40)</f>
        <v>0</v>
      </c>
      <c r="S22" s="150">
        <f>R22*(1+'Hipóteses xerais (2)'!$C$40)</f>
        <v>0</v>
      </c>
      <c r="T22" s="150">
        <f>S22*(1+'Hipóteses xerais (2)'!$C$40)</f>
        <v>0</v>
      </c>
      <c r="U22" s="150">
        <f>T22*(1+'Hipóteses xerais (2)'!$C$40)</f>
        <v>0</v>
      </c>
      <c r="V22" s="150">
        <f>U22*(1+'Hipóteses xerais (2)'!$C$40)</f>
        <v>0</v>
      </c>
      <c r="W22" s="150">
        <f>V22*(1+'Hipóteses xerais (2)'!$C$40)</f>
        <v>0</v>
      </c>
      <c r="X22" s="150">
        <f>W22*(1+'Hipóteses xerais (2)'!$C$40)</f>
        <v>0</v>
      </c>
      <c r="Y22" s="150">
        <f>X22*(1+'Hipóteses xerais (2)'!$C$40)</f>
        <v>0</v>
      </c>
      <c r="Z22" s="150">
        <f>Y22*(1+'Hipóteses xerais (2)'!$C$40)</f>
        <v>0</v>
      </c>
      <c r="AA22" s="150">
        <f>Z22*(1+'Hipóteses xerais (2)'!$C$40)</f>
        <v>0</v>
      </c>
      <c r="AB22" s="150">
        <f>AA22*(1+'Hipóteses xerais (2)'!$C$40)</f>
        <v>0</v>
      </c>
      <c r="AC22" s="150">
        <f>AB22*(1+'Hipóteses xerais (2)'!$C$40)</f>
        <v>0</v>
      </c>
      <c r="AD22" s="150">
        <f>AC22*(1+'Hipóteses xerais (2)'!$C$40)</f>
        <v>0</v>
      </c>
      <c r="AE22" s="653">
        <f t="shared" si="3"/>
        <v>0</v>
      </c>
    </row>
    <row r="23" spans="2:31" s="13" customFormat="1" x14ac:dyDescent="0.35">
      <c r="B23" s="13">
        <v>64</v>
      </c>
      <c r="C23" s="1500" t="str">
        <f>VLOOKUP("Gastos de persoal",tabIdiomas26[],MATCH('Indiv. Invoices Comparison'!$J$2,tabIdiomas26[#Headers]),FALSE)</f>
        <v>Human Resources Expenses</v>
      </c>
      <c r="D23" s="1499">
        <f t="shared" ref="D23:AD23" si="5">SUM(D20:D22)</f>
        <v>0</v>
      </c>
      <c r="E23" s="1499">
        <f t="shared" si="5"/>
        <v>0</v>
      </c>
      <c r="F23" s="1499">
        <f t="shared" si="5"/>
        <v>0</v>
      </c>
      <c r="G23" s="1499">
        <f t="shared" si="5"/>
        <v>0</v>
      </c>
      <c r="H23" s="1499">
        <f t="shared" si="5"/>
        <v>0</v>
      </c>
      <c r="I23" s="1499">
        <f t="shared" si="5"/>
        <v>0</v>
      </c>
      <c r="J23" s="1499">
        <f t="shared" si="5"/>
        <v>0</v>
      </c>
      <c r="K23" s="1499">
        <f t="shared" si="5"/>
        <v>0</v>
      </c>
      <c r="L23" s="1499">
        <f t="shared" si="5"/>
        <v>0</v>
      </c>
      <c r="M23" s="1499">
        <f t="shared" si="5"/>
        <v>0</v>
      </c>
      <c r="N23" s="1499">
        <f t="shared" si="5"/>
        <v>0</v>
      </c>
      <c r="O23" s="1499">
        <f t="shared" si="5"/>
        <v>0</v>
      </c>
      <c r="P23" s="1499">
        <f t="shared" si="5"/>
        <v>0</v>
      </c>
      <c r="Q23" s="1499">
        <f t="shared" si="5"/>
        <v>0</v>
      </c>
      <c r="R23" s="1499">
        <f t="shared" si="5"/>
        <v>0</v>
      </c>
      <c r="S23" s="1499">
        <f t="shared" si="5"/>
        <v>0</v>
      </c>
      <c r="T23" s="1499">
        <f t="shared" si="5"/>
        <v>0</v>
      </c>
      <c r="U23" s="1499">
        <f t="shared" si="5"/>
        <v>0</v>
      </c>
      <c r="V23" s="1499">
        <f t="shared" si="5"/>
        <v>0</v>
      </c>
      <c r="W23" s="1499">
        <f t="shared" si="5"/>
        <v>0</v>
      </c>
      <c r="X23" s="1499">
        <f t="shared" si="5"/>
        <v>0</v>
      </c>
      <c r="Y23" s="1499">
        <f t="shared" si="5"/>
        <v>0</v>
      </c>
      <c r="Z23" s="1499">
        <f t="shared" si="5"/>
        <v>0</v>
      </c>
      <c r="AA23" s="1499">
        <f t="shared" si="5"/>
        <v>0</v>
      </c>
      <c r="AB23" s="1499">
        <f t="shared" si="5"/>
        <v>0</v>
      </c>
      <c r="AC23" s="1499">
        <f t="shared" si="5"/>
        <v>0</v>
      </c>
      <c r="AD23" s="1499">
        <f t="shared" si="5"/>
        <v>0</v>
      </c>
      <c r="AE23" s="1498">
        <f t="shared" si="3"/>
        <v>0</v>
      </c>
    </row>
    <row r="24" spans="2:31" x14ac:dyDescent="0.35">
      <c r="B24">
        <v>621</v>
      </c>
      <c r="C24" s="1493" t="str">
        <f>VLOOKUP("Arrendamentos e Cánones (Aluguer terreos)",tabIdiomas26[],MATCH('Indiv. Invoices Comparison'!$J$2,tabIdiomas26[#Headers]),FALSE)</f>
        <v>Rentals (Land and Others)</v>
      </c>
      <c r="D24" s="1491">
        <f>'Estim. Gastos'!$F$31</f>
        <v>480</v>
      </c>
      <c r="E24" s="1491"/>
      <c r="F24" s="1491">
        <f t="shared" ref="F24:F32" si="6">D24</f>
        <v>480</v>
      </c>
      <c r="G24" s="1491">
        <f t="shared" ref="G24:G32" si="7">F24</f>
        <v>480</v>
      </c>
      <c r="H24" s="1491">
        <f>G24*(1+'Hipóteses xerais (2)'!$C$42)</f>
        <v>495.36</v>
      </c>
      <c r="I24" s="1491">
        <f>H24*(1+'Hipóteses xerais (2)'!$C$42)</f>
        <v>511.21152000000001</v>
      </c>
      <c r="J24" s="1491">
        <f>I24*(1+'Hipóteses xerais (2)'!$C$42)</f>
        <v>527.57028864000006</v>
      </c>
      <c r="K24" s="1491">
        <f>J24*(1+'Hipóteses xerais (2)'!$C$42)</f>
        <v>544.45253787648005</v>
      </c>
      <c r="L24" s="1491">
        <f>K24*(1+'Hipóteses xerais (2)'!$C$42)</f>
        <v>561.87501908852744</v>
      </c>
      <c r="M24" s="1491">
        <f>L24*(1+'Hipóteses xerais (2)'!$C$42)</f>
        <v>579.85501969936035</v>
      </c>
      <c r="N24" s="1491">
        <f>M24*(1+'Hipóteses xerais (2)'!$C$42)</f>
        <v>598.41038032973995</v>
      </c>
      <c r="O24" s="1491">
        <f>N24*(1+'Hipóteses xerais (2)'!$C$42)</f>
        <v>617.5595125002917</v>
      </c>
      <c r="P24" s="1491">
        <f>O24*(1+'Hipóteses xerais (2)'!$C$42)</f>
        <v>637.32141690030107</v>
      </c>
      <c r="Q24" s="1491">
        <f>P24*(1+'Hipóteses xerais (2)'!$C$42)</f>
        <v>657.71570224111076</v>
      </c>
      <c r="R24" s="1491">
        <f>Q24*(1+'Hipóteses xerais (2)'!$C$42)</f>
        <v>678.76260471282637</v>
      </c>
      <c r="S24" s="1491">
        <f>R24*(1+'Hipóteses xerais (2)'!$C$42)</f>
        <v>700.48300806363682</v>
      </c>
      <c r="T24" s="1491">
        <f>S24*(1+'Hipóteses xerais (2)'!$C$42)</f>
        <v>722.89846432167326</v>
      </c>
      <c r="U24" s="1491">
        <f>T24*(1+'Hipóteses xerais (2)'!$C$42)</f>
        <v>746.03121517996681</v>
      </c>
      <c r="V24" s="1491">
        <f>U24*(1+'Hipóteses xerais (2)'!$C$42)</f>
        <v>769.9042140657258</v>
      </c>
      <c r="W24" s="1491">
        <f>V24*(1+'Hipóteses xerais (2)'!$C$42)</f>
        <v>794.54114891582901</v>
      </c>
      <c r="X24" s="1491">
        <f>W24*(1+'Hipóteses xerais (2)'!$C$42)</f>
        <v>819.96646568113556</v>
      </c>
      <c r="Y24" s="1491">
        <f>X24*(1+'Hipóteses xerais (2)'!$C$42)</f>
        <v>846.20539258293195</v>
      </c>
      <c r="Z24" s="1491">
        <f>Y24*(1+'Hipóteses xerais (2)'!$C$42)</f>
        <v>873.28396514558574</v>
      </c>
      <c r="AA24" s="1491">
        <f>Z24*(1+'Hipóteses xerais (2)'!$C$42)</f>
        <v>901.22905203024447</v>
      </c>
      <c r="AB24" s="1491">
        <f>AA24*(1+'Hipóteses xerais (2)'!$C$42)</f>
        <v>930.06838169521234</v>
      </c>
      <c r="AC24" s="1491">
        <f>AB24*(1+'Hipóteses xerais (2)'!$C$42)</f>
        <v>959.8305699094592</v>
      </c>
      <c r="AD24" s="1491">
        <f>AC24*(1+'Hipóteses xerais (2)'!$C$42)</f>
        <v>990.54514814656193</v>
      </c>
      <c r="AE24" s="1490">
        <f t="shared" si="3"/>
        <v>17425.081027726599</v>
      </c>
    </row>
    <row r="25" spans="2:31" x14ac:dyDescent="0.35">
      <c r="B25">
        <v>6221</v>
      </c>
      <c r="C25" s="1493" t="str">
        <f>VLOOKUP("Reparacións e Mantemento das Instalacións",tabIdiomas26[],MATCH('Indiv. Invoices Comparison'!$J$2,tabIdiomas26[#Headers]),FALSE)</f>
        <v>Facilities Repairing and Maintenance</v>
      </c>
      <c r="D25" s="1491">
        <f>'Estim. Gastos'!$F$32</f>
        <v>600</v>
      </c>
      <c r="E25" s="1491"/>
      <c r="F25" s="1491">
        <f t="shared" si="6"/>
        <v>600</v>
      </c>
      <c r="G25" s="1491">
        <f t="shared" si="7"/>
        <v>600</v>
      </c>
      <c r="H25" s="1491">
        <f>G25*(1+'Hipóteses xerais (2)'!$C$42)</f>
        <v>619.20000000000005</v>
      </c>
      <c r="I25" s="1491">
        <f>H25*(1+'Hipóteses xerais (2)'!$C$42)</f>
        <v>639.01440000000002</v>
      </c>
      <c r="J25" s="1491">
        <f>I25*(1+'Hipóteses xerais (2)'!$C$42)</f>
        <v>659.46286080000004</v>
      </c>
      <c r="K25" s="1491">
        <f>J25*(1+'Hipóteses xerais (2)'!$C$42)</f>
        <v>680.56567234560009</v>
      </c>
      <c r="L25" s="1491">
        <f>K25*(1+'Hipóteses xerais (2)'!$C$42)</f>
        <v>702.34377386065933</v>
      </c>
      <c r="M25" s="1491">
        <f>L25*(1+'Hipóteses xerais (2)'!$C$42)</f>
        <v>724.8187746242005</v>
      </c>
      <c r="N25" s="1491">
        <f>M25*(1+'Hipóteses xerais (2)'!$C$42)</f>
        <v>748.01297541217491</v>
      </c>
      <c r="O25" s="1491">
        <f>N25*(1+'Hipóteses xerais (2)'!$C$42)</f>
        <v>771.94939062536457</v>
      </c>
      <c r="P25" s="1491">
        <f>O25*(1+'Hipóteses xerais (2)'!$C$42)</f>
        <v>796.65177112537629</v>
      </c>
      <c r="Q25" s="1491">
        <f>P25*(1+'Hipóteses xerais (2)'!$C$42)</f>
        <v>822.14462780138831</v>
      </c>
      <c r="R25" s="1491">
        <f>Q25*(1+'Hipóteses xerais (2)'!$C$42)</f>
        <v>848.45325589103277</v>
      </c>
      <c r="S25" s="1491">
        <f>R25*(1+'Hipóteses xerais (2)'!$C$42)</f>
        <v>875.60376007954585</v>
      </c>
      <c r="T25" s="1491">
        <f>S25*(1+'Hipóteses xerais (2)'!$C$42)</f>
        <v>903.62308040209132</v>
      </c>
      <c r="U25" s="1491">
        <f>T25*(1+'Hipóteses xerais (2)'!$C$42)</f>
        <v>932.53901897495825</v>
      </c>
      <c r="V25" s="1491">
        <f>U25*(1+'Hipóteses xerais (2)'!$C$42)</f>
        <v>962.38026758215699</v>
      </c>
      <c r="W25" s="1491">
        <f>V25*(1+'Hipóteses xerais (2)'!$C$42)</f>
        <v>993.17643614478607</v>
      </c>
      <c r="X25" s="1491">
        <f>W25*(1+'Hipóteses xerais (2)'!$C$42)</f>
        <v>1024.9580821014192</v>
      </c>
      <c r="Y25" s="1491">
        <f>X25*(1+'Hipóteses xerais (2)'!$C$42)</f>
        <v>1057.7567407286647</v>
      </c>
      <c r="Z25" s="1491">
        <f>Y25*(1+'Hipóteses xerais (2)'!$C$42)</f>
        <v>1091.6049564319819</v>
      </c>
      <c r="AA25" s="1491">
        <f>Z25*(1+'Hipóteses xerais (2)'!$C$42)</f>
        <v>1126.5363150378055</v>
      </c>
      <c r="AB25" s="1491">
        <f>AA25*(1+'Hipóteses xerais (2)'!$C$42)</f>
        <v>1162.5854771190152</v>
      </c>
      <c r="AC25" s="1491">
        <f>AB25*(1+'Hipóteses xerais (2)'!$C$42)</f>
        <v>1199.7882123868237</v>
      </c>
      <c r="AD25" s="1491">
        <f>AC25*(1+'Hipóteses xerais (2)'!$C$42)</f>
        <v>1238.1814351832022</v>
      </c>
      <c r="AE25" s="1490">
        <f t="shared" si="3"/>
        <v>21781.351284658245</v>
      </c>
    </row>
    <row r="26" spans="2:31" s="10" customFormat="1" ht="29" x14ac:dyDescent="0.35">
      <c r="B26" s="10">
        <v>623</v>
      </c>
      <c r="C26" s="1497" t="str">
        <f>VLOOKUP("Servicios de Profesionais Indep. (Notarios, Avogados, Rexistradores, Economistas, Asesores, etc.)",tabIdiomas26[],MATCH('Indiv. Invoices Comparison'!$J$2,tabIdiomas26[#Headers]),FALSE)</f>
        <v>Profesional Services (Notaries, Lawyers, Registry Officers, Economists, Advisors, etc.)</v>
      </c>
      <c r="D26" s="1496">
        <f>'Estim. Gastos'!$F$35</f>
        <v>0</v>
      </c>
      <c r="E26" s="1496"/>
      <c r="F26" s="1496">
        <f t="shared" si="6"/>
        <v>0</v>
      </c>
      <c r="G26" s="1496">
        <f t="shared" si="7"/>
        <v>0</v>
      </c>
      <c r="H26" s="1496">
        <f>G26*(1+'Hipóteses xerais (2)'!$C$42)</f>
        <v>0</v>
      </c>
      <c r="I26" s="1496">
        <f>H26*(1+'Hipóteses xerais (2)'!$C$42)</f>
        <v>0</v>
      </c>
      <c r="J26" s="1496">
        <f>I26*(1+'Hipóteses xerais (2)'!$C$42)</f>
        <v>0</v>
      </c>
      <c r="K26" s="1496">
        <f>J26*(1+'Hipóteses xerais (2)'!$C$42)</f>
        <v>0</v>
      </c>
      <c r="L26" s="1496">
        <f>K26*(1+'Hipóteses xerais (2)'!$C$42)</f>
        <v>0</v>
      </c>
      <c r="M26" s="1496">
        <f>L26*(1+'Hipóteses xerais (2)'!$C$42)</f>
        <v>0</v>
      </c>
      <c r="N26" s="1496">
        <f>M26*(1+'Hipóteses xerais (2)'!$C$42)</f>
        <v>0</v>
      </c>
      <c r="O26" s="1496">
        <f>N26*(1+'Hipóteses xerais (2)'!$C$42)</f>
        <v>0</v>
      </c>
      <c r="P26" s="1496">
        <f>O26*(1+'Hipóteses xerais (2)'!$C$42)</f>
        <v>0</v>
      </c>
      <c r="Q26" s="1496">
        <f>P26*(1+'Hipóteses xerais (2)'!$C$42)</f>
        <v>0</v>
      </c>
      <c r="R26" s="1496">
        <f>Q26*(1+'Hipóteses xerais (2)'!$C$42)</f>
        <v>0</v>
      </c>
      <c r="S26" s="1496">
        <f>R26*(1+'Hipóteses xerais (2)'!$C$42)</f>
        <v>0</v>
      </c>
      <c r="T26" s="1496">
        <f>S26*(1+'Hipóteses xerais (2)'!$C$42)</f>
        <v>0</v>
      </c>
      <c r="U26" s="1496">
        <f>T26*(1+'Hipóteses xerais (2)'!$C$42)</f>
        <v>0</v>
      </c>
      <c r="V26" s="1496">
        <f>U26*(1+'Hipóteses xerais (2)'!$C$42)</f>
        <v>0</v>
      </c>
      <c r="W26" s="1496">
        <f>V26*(1+'Hipóteses xerais (2)'!$C$42)</f>
        <v>0</v>
      </c>
      <c r="X26" s="1496">
        <f>W26*(1+'Hipóteses xerais (2)'!$C$42)</f>
        <v>0</v>
      </c>
      <c r="Y26" s="1496">
        <f>X26*(1+'Hipóteses xerais (2)'!$C$42)</f>
        <v>0</v>
      </c>
      <c r="Z26" s="1496">
        <f>Y26*(1+'Hipóteses xerais (2)'!$C$42)</f>
        <v>0</v>
      </c>
      <c r="AA26" s="1496">
        <f>Z26*(1+'Hipóteses xerais (2)'!$C$42)</f>
        <v>0</v>
      </c>
      <c r="AB26" s="1496">
        <f>AA26*(1+'Hipóteses xerais (2)'!$C$42)</f>
        <v>0</v>
      </c>
      <c r="AC26" s="1496">
        <f>AB26*(1+'Hipóteses xerais (2)'!$C$42)</f>
        <v>0</v>
      </c>
      <c r="AD26" s="1496">
        <f>AC26*(1+'Hipóteses xerais (2)'!$C$42)</f>
        <v>0</v>
      </c>
      <c r="AE26" s="1494">
        <f t="shared" si="3"/>
        <v>0</v>
      </c>
    </row>
    <row r="27" spans="2:31" x14ac:dyDescent="0.35">
      <c r="B27">
        <v>624</v>
      </c>
      <c r="C27" s="1493" t="str">
        <f>VLOOKUP("Transportes",tabIdiomas26[],MATCH('Indiv. Invoices Comparison'!$J$2,tabIdiomas26[#Headers]),FALSE)</f>
        <v>Transportation Expenses</v>
      </c>
      <c r="D27" s="1491">
        <f>'Estim. Gastos'!$F$40</f>
        <v>0</v>
      </c>
      <c r="E27" s="1491"/>
      <c r="F27" s="1491">
        <f t="shared" si="6"/>
        <v>0</v>
      </c>
      <c r="G27" s="1491">
        <f t="shared" si="7"/>
        <v>0</v>
      </c>
      <c r="H27" s="1491">
        <f>G27*(1+'Hipóteses xerais (2)'!$C$42)</f>
        <v>0</v>
      </c>
      <c r="I27" s="1491">
        <f>H27*(1+'Hipóteses xerais (2)'!$C$42)</f>
        <v>0</v>
      </c>
      <c r="J27" s="1491">
        <f>I27*(1+'Hipóteses xerais (2)'!$C$42)</f>
        <v>0</v>
      </c>
      <c r="K27" s="1491">
        <f>J27*(1+'Hipóteses xerais (2)'!$C$42)</f>
        <v>0</v>
      </c>
      <c r="L27" s="1491">
        <f>K27*(1+'Hipóteses xerais (2)'!$C$42)</f>
        <v>0</v>
      </c>
      <c r="M27" s="1491">
        <f>L27*(1+'Hipóteses xerais (2)'!$C$42)</f>
        <v>0</v>
      </c>
      <c r="N27" s="1491">
        <f>M27*(1+'Hipóteses xerais (2)'!$C$42)</f>
        <v>0</v>
      </c>
      <c r="O27" s="1491">
        <f>N27*(1+'Hipóteses xerais (2)'!$C$42)</f>
        <v>0</v>
      </c>
      <c r="P27" s="1491">
        <f>O27*(1+'Hipóteses xerais (2)'!$C$42)</f>
        <v>0</v>
      </c>
      <c r="Q27" s="1491">
        <f>P27*(1+'Hipóteses xerais (2)'!$C$42)</f>
        <v>0</v>
      </c>
      <c r="R27" s="1491">
        <f>Q27*(1+'Hipóteses xerais (2)'!$C$42)</f>
        <v>0</v>
      </c>
      <c r="S27" s="1491">
        <f>R27*(1+'Hipóteses xerais (2)'!$C$42)</f>
        <v>0</v>
      </c>
      <c r="T27" s="1491">
        <f>S27*(1+'Hipóteses xerais (2)'!$C$42)</f>
        <v>0</v>
      </c>
      <c r="U27" s="1491">
        <f>T27*(1+'Hipóteses xerais (2)'!$C$42)</f>
        <v>0</v>
      </c>
      <c r="V27" s="1491">
        <f>U27*(1+'Hipóteses xerais (2)'!$C$42)</f>
        <v>0</v>
      </c>
      <c r="W27" s="1491">
        <f>V27*(1+'Hipóteses xerais (2)'!$C$42)</f>
        <v>0</v>
      </c>
      <c r="X27" s="1491">
        <f>W27*(1+'Hipóteses xerais (2)'!$C$42)</f>
        <v>0</v>
      </c>
      <c r="Y27" s="1491">
        <f>X27*(1+'Hipóteses xerais (2)'!$C$42)</f>
        <v>0</v>
      </c>
      <c r="Z27" s="1491">
        <f>Y27*(1+'Hipóteses xerais (2)'!$C$42)</f>
        <v>0</v>
      </c>
      <c r="AA27" s="1491">
        <f>Z27*(1+'Hipóteses xerais (2)'!$C$42)</f>
        <v>0</v>
      </c>
      <c r="AB27" s="1491">
        <f>AA27*(1+'Hipóteses xerais (2)'!$C$42)</f>
        <v>0</v>
      </c>
      <c r="AC27" s="1491">
        <f>AB27*(1+'Hipóteses xerais (2)'!$C$42)</f>
        <v>0</v>
      </c>
      <c r="AD27" s="1491">
        <f>AC27*(1+'Hipóteses xerais (2)'!$C$42)</f>
        <v>0</v>
      </c>
      <c r="AE27" s="1490">
        <f t="shared" si="3"/>
        <v>0</v>
      </c>
    </row>
    <row r="28" spans="2:31" x14ac:dyDescent="0.35">
      <c r="B28">
        <v>625</v>
      </c>
      <c r="C28" s="1493" t="str">
        <f>VLOOKUP("Primas de Seguros",tabIdiomas26[],MATCH('Indiv. Invoices Comparison'!$J$2,tabIdiomas26[#Headers]),FALSE)</f>
        <v>Insurance Premiums</v>
      </c>
      <c r="D28" s="1491">
        <f>'Estim. Gastos'!$F$41</f>
        <v>1400</v>
      </c>
      <c r="E28" s="1491"/>
      <c r="F28" s="1491">
        <f t="shared" si="6"/>
        <v>1400</v>
      </c>
      <c r="G28" s="1491">
        <f t="shared" si="7"/>
        <v>1400</v>
      </c>
      <c r="H28" s="1491">
        <f>G28*(1+'Hipóteses xerais (2)'!$C$42)</f>
        <v>1444.8</v>
      </c>
      <c r="I28" s="1491">
        <f>H28*(1+'Hipóteses xerais (2)'!$C$42)</f>
        <v>1491.0336</v>
      </c>
      <c r="J28" s="1491">
        <f>I28*(1+'Hipóteses xerais (2)'!$C$42)</f>
        <v>1538.7466752</v>
      </c>
      <c r="K28" s="1491">
        <f>J28*(1+'Hipóteses xerais (2)'!$C$42)</f>
        <v>1587.9865688064001</v>
      </c>
      <c r="L28" s="1491">
        <f>K28*(1+'Hipóteses xerais (2)'!$C$42)</f>
        <v>1638.8021390082049</v>
      </c>
      <c r="M28" s="1491">
        <f>L28*(1+'Hipóteses xerais (2)'!$C$42)</f>
        <v>1691.2438074564675</v>
      </c>
      <c r="N28" s="1491">
        <f>M28*(1+'Hipóteses xerais (2)'!$C$42)</f>
        <v>1745.3636092950744</v>
      </c>
      <c r="O28" s="1491">
        <f>N28*(1+'Hipóteses xerais (2)'!$C$42)</f>
        <v>1801.2152447925168</v>
      </c>
      <c r="P28" s="1491">
        <f>O28*(1+'Hipóteses xerais (2)'!$C$42)</f>
        <v>1858.8541326258774</v>
      </c>
      <c r="Q28" s="1491">
        <f>P28*(1+'Hipóteses xerais (2)'!$C$42)</f>
        <v>1918.3374648699055</v>
      </c>
      <c r="R28" s="1491">
        <f>Q28*(1+'Hipóteses xerais (2)'!$C$42)</f>
        <v>1979.7242637457425</v>
      </c>
      <c r="S28" s="1491">
        <f>R28*(1+'Hipóteses xerais (2)'!$C$42)</f>
        <v>2043.0754401856063</v>
      </c>
      <c r="T28" s="1491">
        <f>S28*(1+'Hipóteses xerais (2)'!$C$42)</f>
        <v>2108.4538542715459</v>
      </c>
      <c r="U28" s="1491">
        <f>T28*(1+'Hipóteses xerais (2)'!$C$42)</f>
        <v>2175.9243776082353</v>
      </c>
      <c r="V28" s="1491">
        <f>U28*(1+'Hipóteses xerais (2)'!$C$42)</f>
        <v>2245.553957691699</v>
      </c>
      <c r="W28" s="1491">
        <f>V28*(1+'Hipóteses xerais (2)'!$C$42)</f>
        <v>2317.4116843378333</v>
      </c>
      <c r="X28" s="1491">
        <f>W28*(1+'Hipóteses xerais (2)'!$C$42)</f>
        <v>2391.5688582366442</v>
      </c>
      <c r="Y28" s="1491">
        <f>X28*(1+'Hipóteses xerais (2)'!$C$42)</f>
        <v>2468.0990617002171</v>
      </c>
      <c r="Z28" s="1491">
        <f>Y28*(1+'Hipóteses xerais (2)'!$C$42)</f>
        <v>2547.078231674624</v>
      </c>
      <c r="AA28" s="1491">
        <f>Z28*(1+'Hipóteses xerais (2)'!$C$42)</f>
        <v>2628.5847350882123</v>
      </c>
      <c r="AB28" s="1491">
        <f>AA28*(1+'Hipóteses xerais (2)'!$C$42)</f>
        <v>2712.699446611035</v>
      </c>
      <c r="AC28" s="1491">
        <f>AB28*(1+'Hipóteses xerais (2)'!$C$42)</f>
        <v>2799.5058289025883</v>
      </c>
      <c r="AD28" s="1491">
        <f>AC28*(1+'Hipóteses xerais (2)'!$C$42)</f>
        <v>2889.0900154274714</v>
      </c>
      <c r="AE28" s="1490">
        <f t="shared" si="3"/>
        <v>50823.152997535901</v>
      </c>
    </row>
    <row r="29" spans="2:31" x14ac:dyDescent="0.35">
      <c r="B29">
        <v>626</v>
      </c>
      <c r="C29" s="1493" t="str">
        <f>VLOOKUP("Servizos Bancarios",tabIdiomas26[],MATCH('Indiv. Invoices Comparison'!$J$2,tabIdiomas26[#Headers]),FALSE)</f>
        <v>Banking Services</v>
      </c>
      <c r="D29" s="1491">
        <f>'Estim. Gastos'!$F$42</f>
        <v>240</v>
      </c>
      <c r="E29" s="1491"/>
      <c r="F29" s="1491">
        <f t="shared" si="6"/>
        <v>240</v>
      </c>
      <c r="G29" s="1491">
        <f t="shared" si="7"/>
        <v>240</v>
      </c>
      <c r="H29" s="1491">
        <f>G29*(1+'Hipóteses xerais (2)'!$C$42)</f>
        <v>247.68</v>
      </c>
      <c r="I29" s="1491">
        <f>H29*(1+'Hipóteses xerais (2)'!$C$42)</f>
        <v>255.60576</v>
      </c>
      <c r="J29" s="1491">
        <f>I29*(1+'Hipóteses xerais (2)'!$C$42)</f>
        <v>263.78514432000003</v>
      </c>
      <c r="K29" s="1491">
        <f>J29*(1+'Hipóteses xerais (2)'!$C$42)</f>
        <v>272.22626893824003</v>
      </c>
      <c r="L29" s="1491">
        <f>K29*(1+'Hipóteses xerais (2)'!$C$42)</f>
        <v>280.93750954426372</v>
      </c>
      <c r="M29" s="1491">
        <f>L29*(1+'Hipóteses xerais (2)'!$C$42)</f>
        <v>289.92750984968018</v>
      </c>
      <c r="N29" s="1491">
        <f>M29*(1+'Hipóteses xerais (2)'!$C$42)</f>
        <v>299.20519016486998</v>
      </c>
      <c r="O29" s="1491">
        <f>N29*(1+'Hipóteses xerais (2)'!$C$42)</f>
        <v>308.77975625014585</v>
      </c>
      <c r="P29" s="1491">
        <f>O29*(1+'Hipóteses xerais (2)'!$C$42)</f>
        <v>318.66070845015054</v>
      </c>
      <c r="Q29" s="1491">
        <f>P29*(1+'Hipóteses xerais (2)'!$C$42)</f>
        <v>328.85785112055538</v>
      </c>
      <c r="R29" s="1491">
        <f>Q29*(1+'Hipóteses xerais (2)'!$C$42)</f>
        <v>339.38130235641319</v>
      </c>
      <c r="S29" s="1491">
        <f>R29*(1+'Hipóteses xerais (2)'!$C$42)</f>
        <v>350.24150403181841</v>
      </c>
      <c r="T29" s="1491">
        <f>S29*(1+'Hipóteses xerais (2)'!$C$42)</f>
        <v>361.44923216083663</v>
      </c>
      <c r="U29" s="1491">
        <f>T29*(1+'Hipóteses xerais (2)'!$C$42)</f>
        <v>373.0156075899834</v>
      </c>
      <c r="V29" s="1491">
        <f>U29*(1+'Hipóteses xerais (2)'!$C$42)</f>
        <v>384.9521070328629</v>
      </c>
      <c r="W29" s="1491">
        <f>V29*(1+'Hipóteses xerais (2)'!$C$42)</f>
        <v>397.27057445791451</v>
      </c>
      <c r="X29" s="1491">
        <f>W29*(1+'Hipóteses xerais (2)'!$C$42)</f>
        <v>409.98323284056778</v>
      </c>
      <c r="Y29" s="1491">
        <f>X29*(1+'Hipóteses xerais (2)'!$C$42)</f>
        <v>423.10269629146597</v>
      </c>
      <c r="Z29" s="1491">
        <f>Y29*(1+'Hipóteses xerais (2)'!$C$42)</f>
        <v>436.64198257279287</v>
      </c>
      <c r="AA29" s="1491">
        <f>Z29*(1+'Hipóteses xerais (2)'!$C$42)</f>
        <v>450.61452601512224</v>
      </c>
      <c r="AB29" s="1491">
        <f>AA29*(1+'Hipóteses xerais (2)'!$C$42)</f>
        <v>465.03419084760617</v>
      </c>
      <c r="AC29" s="1491">
        <f>AB29*(1+'Hipóteses xerais (2)'!$C$42)</f>
        <v>479.9152849547296</v>
      </c>
      <c r="AD29" s="1491">
        <f>AC29*(1+'Hipóteses xerais (2)'!$C$42)</f>
        <v>495.27257407328096</v>
      </c>
      <c r="AE29" s="1490">
        <f t="shared" si="3"/>
        <v>8712.5405138632996</v>
      </c>
    </row>
    <row r="30" spans="2:31" x14ac:dyDescent="0.35">
      <c r="B30">
        <v>627</v>
      </c>
      <c r="C30" s="1493" t="str">
        <f>VLOOKUP("Publicidade, Propaganda e RR.PP.",tabIdiomas26[],MATCH('Indiv. Invoices Comparison'!$J$2,tabIdiomas26[#Headers]),FALSE)</f>
        <v>Advertising, Propaganda &amp; Public Relations</v>
      </c>
      <c r="D30" s="1491">
        <f>'Estim. Gastos'!$F$43</f>
        <v>0</v>
      </c>
      <c r="E30" s="1491"/>
      <c r="F30" s="1491">
        <f t="shared" si="6"/>
        <v>0</v>
      </c>
      <c r="G30" s="1491">
        <f t="shared" si="7"/>
        <v>0</v>
      </c>
      <c r="H30" s="1491">
        <f>G30*(1+'Hipóteses xerais (2)'!$C$42)</f>
        <v>0</v>
      </c>
      <c r="I30" s="1491">
        <f>H30*(1+'Hipóteses xerais (2)'!$C$42)</f>
        <v>0</v>
      </c>
      <c r="J30" s="1491">
        <f>I30*(1+'Hipóteses xerais (2)'!$C$42)</f>
        <v>0</v>
      </c>
      <c r="K30" s="1491">
        <f>J30*(1+'Hipóteses xerais (2)'!$C$42)</f>
        <v>0</v>
      </c>
      <c r="L30" s="1491">
        <f>K30*(1+'Hipóteses xerais (2)'!$C$42)</f>
        <v>0</v>
      </c>
      <c r="M30" s="1491">
        <f>L30*(1+'Hipóteses xerais (2)'!$C$42)</f>
        <v>0</v>
      </c>
      <c r="N30" s="1491">
        <f>M30*(1+'Hipóteses xerais (2)'!$C$42)</f>
        <v>0</v>
      </c>
      <c r="O30" s="1491">
        <f>N30*(1+'Hipóteses xerais (2)'!$C$42)</f>
        <v>0</v>
      </c>
      <c r="P30" s="1491">
        <f>O30*(1+'Hipóteses xerais (2)'!$C$42)</f>
        <v>0</v>
      </c>
      <c r="Q30" s="1491">
        <f>P30*(1+'Hipóteses xerais (2)'!$C$42)</f>
        <v>0</v>
      </c>
      <c r="R30" s="1491">
        <f>Q30*(1+'Hipóteses xerais (2)'!$C$42)</f>
        <v>0</v>
      </c>
      <c r="S30" s="1491">
        <f>R30*(1+'Hipóteses xerais (2)'!$C$42)</f>
        <v>0</v>
      </c>
      <c r="T30" s="1491">
        <f>S30*(1+'Hipóteses xerais (2)'!$C$42)</f>
        <v>0</v>
      </c>
      <c r="U30" s="1491">
        <f>T30*(1+'Hipóteses xerais (2)'!$C$42)</f>
        <v>0</v>
      </c>
      <c r="V30" s="1491">
        <f>U30*(1+'Hipóteses xerais (2)'!$C$42)</f>
        <v>0</v>
      </c>
      <c r="W30" s="1491">
        <f>V30*(1+'Hipóteses xerais (2)'!$C$42)</f>
        <v>0</v>
      </c>
      <c r="X30" s="1491">
        <f>W30*(1+'Hipóteses xerais (2)'!$C$42)</f>
        <v>0</v>
      </c>
      <c r="Y30" s="1491">
        <f>X30*(1+'Hipóteses xerais (2)'!$C$42)</f>
        <v>0</v>
      </c>
      <c r="Z30" s="1491">
        <f>Y30*(1+'Hipóteses xerais (2)'!$C$42)</f>
        <v>0</v>
      </c>
      <c r="AA30" s="1491">
        <f>Z30*(1+'Hipóteses xerais (2)'!$C$42)</f>
        <v>0</v>
      </c>
      <c r="AB30" s="1491">
        <f>AA30*(1+'Hipóteses xerais (2)'!$C$42)</f>
        <v>0</v>
      </c>
      <c r="AC30" s="1491">
        <f>AB30*(1+'Hipóteses xerais (2)'!$C$42)</f>
        <v>0</v>
      </c>
      <c r="AD30" s="1491">
        <f>AC30*(1+'Hipóteses xerais (2)'!$C$42)</f>
        <v>0</v>
      </c>
      <c r="AE30" s="1490">
        <f t="shared" si="3"/>
        <v>0</v>
      </c>
    </row>
    <row r="31" spans="2:31" x14ac:dyDescent="0.35">
      <c r="B31">
        <v>628</v>
      </c>
      <c r="C31" s="1493" t="str">
        <f>VLOOKUP("Subministros",tabIdiomas26[],MATCH('Indiv. Invoices Comparison'!$J$2,tabIdiomas26[#Headers]),FALSE)</f>
        <v>Supplies</v>
      </c>
      <c r="D31" s="1491">
        <f>'Estim. Gastos'!$F$47</f>
        <v>360</v>
      </c>
      <c r="E31" s="1491"/>
      <c r="F31" s="1491">
        <f t="shared" si="6"/>
        <v>360</v>
      </c>
      <c r="G31" s="1491">
        <f t="shared" si="7"/>
        <v>360</v>
      </c>
      <c r="H31" s="1491">
        <f>G31*(1+'Hipóteses xerais (2)'!$C$42)</f>
        <v>371.52</v>
      </c>
      <c r="I31" s="1491">
        <f>H31*(1+'Hipóteses xerais (2)'!$C$42)</f>
        <v>383.40863999999999</v>
      </c>
      <c r="J31" s="1491">
        <f>I31*(1+'Hipóteses xerais (2)'!$C$42)</f>
        <v>395.67771648000002</v>
      </c>
      <c r="K31" s="1491">
        <f>J31*(1+'Hipóteses xerais (2)'!$C$42)</f>
        <v>408.33940340736001</v>
      </c>
      <c r="L31" s="1491">
        <f>K31*(1+'Hipóteses xerais (2)'!$C$42)</f>
        <v>421.40626431639555</v>
      </c>
      <c r="M31" s="1491">
        <f>L31*(1+'Hipóteses xerais (2)'!$C$42)</f>
        <v>434.89126477452021</v>
      </c>
      <c r="N31" s="1491">
        <f>M31*(1+'Hipóteses xerais (2)'!$C$42)</f>
        <v>448.80778524730488</v>
      </c>
      <c r="O31" s="1491">
        <f>N31*(1+'Hipóteses xerais (2)'!$C$42)</f>
        <v>463.16963437521866</v>
      </c>
      <c r="P31" s="1491">
        <f>O31*(1+'Hipóteses xerais (2)'!$C$42)</f>
        <v>477.99106267522569</v>
      </c>
      <c r="Q31" s="1491">
        <f>P31*(1+'Hipóteses xerais (2)'!$C$42)</f>
        <v>493.28677668083293</v>
      </c>
      <c r="R31" s="1491">
        <f>Q31*(1+'Hipóteses xerais (2)'!$C$42)</f>
        <v>509.07195353461958</v>
      </c>
      <c r="S31" s="1491">
        <f>R31*(1+'Hipóteses xerais (2)'!$C$42)</f>
        <v>525.36225604772744</v>
      </c>
      <c r="T31" s="1491">
        <f>S31*(1+'Hipóteses xerais (2)'!$C$42)</f>
        <v>542.17384824125475</v>
      </c>
      <c r="U31" s="1491">
        <f>T31*(1+'Hipóteses xerais (2)'!$C$42)</f>
        <v>559.52341138497491</v>
      </c>
      <c r="V31" s="1491">
        <f>U31*(1+'Hipóteses xerais (2)'!$C$42)</f>
        <v>577.42816054929415</v>
      </c>
      <c r="W31" s="1491">
        <f>V31*(1+'Hipóteses xerais (2)'!$C$42)</f>
        <v>595.90586168687162</v>
      </c>
      <c r="X31" s="1491">
        <f>W31*(1+'Hipóteses xerais (2)'!$C$42)</f>
        <v>614.97484926085156</v>
      </c>
      <c r="Y31" s="1491">
        <f>X31*(1+'Hipóteses xerais (2)'!$C$42)</f>
        <v>634.65404443719888</v>
      </c>
      <c r="Z31" s="1491">
        <f>Y31*(1+'Hipóteses xerais (2)'!$C$42)</f>
        <v>654.96297385918922</v>
      </c>
      <c r="AA31" s="1491">
        <f>Z31*(1+'Hipóteses xerais (2)'!$C$42)</f>
        <v>675.92178902268324</v>
      </c>
      <c r="AB31" s="1491">
        <f>AA31*(1+'Hipóteses xerais (2)'!$C$42)</f>
        <v>697.55128627140914</v>
      </c>
      <c r="AC31" s="1491">
        <f>AB31*(1+'Hipóteses xerais (2)'!$C$42)</f>
        <v>719.87292743209423</v>
      </c>
      <c r="AD31" s="1491">
        <f>AC31*(1+'Hipóteses xerais (2)'!$C$42)</f>
        <v>742.9088611099213</v>
      </c>
      <c r="AE31" s="1490">
        <f t="shared" si="3"/>
        <v>13068.810770794948</v>
      </c>
    </row>
    <row r="32" spans="2:31" x14ac:dyDescent="0.35">
      <c r="B32">
        <v>629</v>
      </c>
      <c r="C32" s="1493" t="str">
        <f>VLOOKUP("Outros Servizos",tabIdiomas26[],MATCH('Indiv. Invoices Comparison'!$J$2,tabIdiomas26[#Headers]),FALSE)</f>
        <v>Other Services</v>
      </c>
      <c r="D32" s="1491">
        <f>'Estim. Gastos'!$F$53</f>
        <v>450</v>
      </c>
      <c r="E32" s="1492"/>
      <c r="F32" s="1491">
        <f t="shared" si="6"/>
        <v>450</v>
      </c>
      <c r="G32" s="1491">
        <f t="shared" si="7"/>
        <v>450</v>
      </c>
      <c r="H32" s="1491">
        <f>G32*(1+'Hipóteses xerais (2)'!$C$42)</f>
        <v>464.40000000000003</v>
      </c>
      <c r="I32" s="1491">
        <f>H32*(1+'Hipóteses xerais (2)'!$C$42)</f>
        <v>479.26080000000007</v>
      </c>
      <c r="J32" s="1491">
        <f>I32*(1+'Hipóteses xerais (2)'!$C$42)</f>
        <v>494.59714560000009</v>
      </c>
      <c r="K32" s="1491">
        <f>J32*(1+'Hipóteses xerais (2)'!$C$42)</f>
        <v>510.4242542592001</v>
      </c>
      <c r="L32" s="1491">
        <f>K32*(1+'Hipóteses xerais (2)'!$C$42)</f>
        <v>526.75783039549447</v>
      </c>
      <c r="M32" s="1491">
        <f>L32*(1+'Hipóteses xerais (2)'!$C$42)</f>
        <v>543.61408096815035</v>
      </c>
      <c r="N32" s="1491">
        <f>M32*(1+'Hipóteses xerais (2)'!$C$42)</f>
        <v>561.00973155913118</v>
      </c>
      <c r="O32" s="1491">
        <f>N32*(1+'Hipóteses xerais (2)'!$C$42)</f>
        <v>578.9620429690234</v>
      </c>
      <c r="P32" s="1491">
        <f>O32*(1+'Hipóteses xerais (2)'!$C$42)</f>
        <v>597.48882834403219</v>
      </c>
      <c r="Q32" s="1491">
        <f>P32*(1+'Hipóteses xerais (2)'!$C$42)</f>
        <v>616.60847085104126</v>
      </c>
      <c r="R32" s="1491">
        <f>Q32*(1+'Hipóteses xerais (2)'!$C$42)</f>
        <v>636.33994191827458</v>
      </c>
      <c r="S32" s="1491">
        <f>R32*(1+'Hipóteses xerais (2)'!$C$42)</f>
        <v>656.70282005965942</v>
      </c>
      <c r="T32" s="1491">
        <f>S32*(1+'Hipóteses xerais (2)'!$C$42)</f>
        <v>677.71731030156855</v>
      </c>
      <c r="U32" s="1491">
        <f>T32*(1+'Hipóteses xerais (2)'!$C$42)</f>
        <v>699.4042642312188</v>
      </c>
      <c r="V32" s="1491">
        <f>U32*(1+'Hipóteses xerais (2)'!$C$42)</f>
        <v>721.78520068661783</v>
      </c>
      <c r="W32" s="1491">
        <f>V32*(1+'Hipóteses xerais (2)'!$C$42)</f>
        <v>744.88232710858961</v>
      </c>
      <c r="X32" s="1491">
        <f>W32*(1+'Hipóteses xerais (2)'!$C$42)</f>
        <v>768.71856157606453</v>
      </c>
      <c r="Y32" s="1491">
        <f>X32*(1+'Hipóteses xerais (2)'!$C$42)</f>
        <v>793.31755554649862</v>
      </c>
      <c r="Z32" s="1491">
        <f>Y32*(1+'Hipóteses xerais (2)'!$C$42)</f>
        <v>818.70371732398655</v>
      </c>
      <c r="AA32" s="1491">
        <f>Z32*(1+'Hipóteses xerais (2)'!$C$42)</f>
        <v>844.90223627835417</v>
      </c>
      <c r="AB32" s="1491">
        <f>AA32*(1+'Hipóteses xerais (2)'!$C$42)</f>
        <v>871.93910783926151</v>
      </c>
      <c r="AC32" s="1491">
        <f>AB32*(1+'Hipóteses xerais (2)'!$C$42)</f>
        <v>899.84115929011796</v>
      </c>
      <c r="AD32" s="1491">
        <f>AC32*(1+'Hipóteses xerais (2)'!$C$42)</f>
        <v>928.63607638740177</v>
      </c>
      <c r="AE32" s="1490">
        <f t="shared" si="3"/>
        <v>16336.013463493686</v>
      </c>
    </row>
    <row r="33" spans="1:34" s="13" customFormat="1" x14ac:dyDescent="0.35">
      <c r="B33" s="13">
        <v>62</v>
      </c>
      <c r="C33" s="1500" t="str">
        <f>VLOOKUP("Gastos en Servizos Exteriores",tabIdiomas26[],MATCH('Indiv. Invoices Comparison'!$J$2,tabIdiomas26[#Headers]),FALSE)</f>
        <v>External Services Expenses</v>
      </c>
      <c r="D33" s="1499">
        <f t="shared" ref="D33:AD33" si="8">SUM(D24:D32)</f>
        <v>3530</v>
      </c>
      <c r="E33" s="1499">
        <f t="shared" si="8"/>
        <v>0</v>
      </c>
      <c r="F33" s="1499">
        <f t="shared" si="8"/>
        <v>3530</v>
      </c>
      <c r="G33" s="1499">
        <f t="shared" si="8"/>
        <v>3530</v>
      </c>
      <c r="H33" s="1499">
        <f t="shared" si="8"/>
        <v>3642.9599999999996</v>
      </c>
      <c r="I33" s="1499">
        <f t="shared" si="8"/>
        <v>3759.5347200000001</v>
      </c>
      <c r="J33" s="1499">
        <f t="shared" si="8"/>
        <v>3879.8398310400007</v>
      </c>
      <c r="K33" s="1499">
        <f t="shared" si="8"/>
        <v>4003.9947056332803</v>
      </c>
      <c r="L33" s="1499">
        <f t="shared" si="8"/>
        <v>4132.1225362135456</v>
      </c>
      <c r="M33" s="1499">
        <f t="shared" si="8"/>
        <v>4264.3504573723785</v>
      </c>
      <c r="N33" s="1499">
        <f t="shared" si="8"/>
        <v>4400.8096720082958</v>
      </c>
      <c r="O33" s="1499">
        <f t="shared" si="8"/>
        <v>4541.6355815125607</v>
      </c>
      <c r="P33" s="1499">
        <f t="shared" si="8"/>
        <v>4686.9679201209628</v>
      </c>
      <c r="Q33" s="1499">
        <f t="shared" si="8"/>
        <v>4836.9508935648346</v>
      </c>
      <c r="R33" s="1499">
        <f t="shared" si="8"/>
        <v>4991.7333221589088</v>
      </c>
      <c r="S33" s="1499">
        <f t="shared" si="8"/>
        <v>5151.4687884679952</v>
      </c>
      <c r="T33" s="1499">
        <f t="shared" si="8"/>
        <v>5316.3157896989705</v>
      </c>
      <c r="U33" s="1499">
        <f t="shared" si="8"/>
        <v>5486.4378949693373</v>
      </c>
      <c r="V33" s="1499">
        <f t="shared" si="8"/>
        <v>5662.0039076083567</v>
      </c>
      <c r="W33" s="1499">
        <f t="shared" si="8"/>
        <v>5843.188032651824</v>
      </c>
      <c r="X33" s="1499">
        <f t="shared" si="8"/>
        <v>6030.1700496966832</v>
      </c>
      <c r="Y33" s="1499">
        <f t="shared" si="8"/>
        <v>6223.1354912869765</v>
      </c>
      <c r="Z33" s="1499">
        <f t="shared" si="8"/>
        <v>6422.2758270081604</v>
      </c>
      <c r="AA33" s="1499">
        <f t="shared" si="8"/>
        <v>6627.7886534724221</v>
      </c>
      <c r="AB33" s="1499">
        <f t="shared" si="8"/>
        <v>6839.8778903835391</v>
      </c>
      <c r="AC33" s="1499">
        <f t="shared" si="8"/>
        <v>7058.7539828758127</v>
      </c>
      <c r="AD33" s="1499">
        <f t="shared" si="8"/>
        <v>7284.6341103278401</v>
      </c>
      <c r="AE33" s="1498">
        <f t="shared" si="3"/>
        <v>128146.95005807269</v>
      </c>
    </row>
    <row r="34" spans="1:34" hidden="1" x14ac:dyDescent="0.35">
      <c r="C34" s="709"/>
      <c r="D34" s="150"/>
      <c r="E34" s="150"/>
      <c r="F34" s="150"/>
      <c r="G34" s="150"/>
      <c r="H34" s="150"/>
      <c r="I34" s="150"/>
      <c r="J34" s="150"/>
      <c r="K34" s="150"/>
      <c r="L34" s="150"/>
      <c r="M34" s="150"/>
      <c r="N34" s="150"/>
      <c r="O34" s="150"/>
      <c r="P34" s="150"/>
      <c r="Q34" s="150"/>
      <c r="R34" s="150"/>
      <c r="S34" s="150"/>
      <c r="T34" s="150"/>
      <c r="U34" s="150"/>
      <c r="V34" s="150"/>
      <c r="W34" s="150"/>
      <c r="X34" s="150"/>
      <c r="Y34" s="150"/>
      <c r="Z34" s="150"/>
      <c r="AA34" s="150"/>
      <c r="AB34" s="150"/>
      <c r="AC34" s="150"/>
      <c r="AD34" s="150"/>
      <c r="AE34" s="653">
        <f t="shared" si="3"/>
        <v>0</v>
      </c>
    </row>
    <row r="35" spans="1:34" hidden="1" x14ac:dyDescent="0.35">
      <c r="C35" s="696" t="s">
        <v>897</v>
      </c>
      <c r="D35" s="150">
        <f>D34</f>
        <v>0</v>
      </c>
      <c r="E35" s="150">
        <f>SUM(E34)</f>
        <v>0</v>
      </c>
      <c r="F35" s="150" t="e">
        <f>#REF!</f>
        <v>#REF!</v>
      </c>
      <c r="G35" s="150" t="e">
        <f>F35</f>
        <v>#REF!</v>
      </c>
      <c r="H35" s="150">
        <f t="shared" ref="H35:AD35" si="9">H34</f>
        <v>0</v>
      </c>
      <c r="I35" s="150">
        <f t="shared" si="9"/>
        <v>0</v>
      </c>
      <c r="J35" s="150">
        <f t="shared" si="9"/>
        <v>0</v>
      </c>
      <c r="K35" s="150">
        <f t="shared" si="9"/>
        <v>0</v>
      </c>
      <c r="L35" s="150">
        <f t="shared" si="9"/>
        <v>0</v>
      </c>
      <c r="M35" s="150">
        <f t="shared" si="9"/>
        <v>0</v>
      </c>
      <c r="N35" s="150">
        <f t="shared" si="9"/>
        <v>0</v>
      </c>
      <c r="O35" s="150">
        <f t="shared" si="9"/>
        <v>0</v>
      </c>
      <c r="P35" s="150">
        <f t="shared" si="9"/>
        <v>0</v>
      </c>
      <c r="Q35" s="150">
        <f t="shared" si="9"/>
        <v>0</v>
      </c>
      <c r="R35" s="150">
        <f t="shared" si="9"/>
        <v>0</v>
      </c>
      <c r="S35" s="150">
        <f t="shared" si="9"/>
        <v>0</v>
      </c>
      <c r="T35" s="150">
        <f t="shared" si="9"/>
        <v>0</v>
      </c>
      <c r="U35" s="150">
        <f t="shared" si="9"/>
        <v>0</v>
      </c>
      <c r="V35" s="150">
        <f t="shared" si="9"/>
        <v>0</v>
      </c>
      <c r="W35" s="150">
        <f t="shared" si="9"/>
        <v>0</v>
      </c>
      <c r="X35" s="150">
        <f t="shared" si="9"/>
        <v>0</v>
      </c>
      <c r="Y35" s="150">
        <f t="shared" si="9"/>
        <v>0</v>
      </c>
      <c r="Z35" s="150">
        <f t="shared" si="9"/>
        <v>0</v>
      </c>
      <c r="AA35" s="150">
        <f t="shared" si="9"/>
        <v>0</v>
      </c>
      <c r="AB35" s="150">
        <f t="shared" si="9"/>
        <v>0</v>
      </c>
      <c r="AC35" s="150">
        <f t="shared" si="9"/>
        <v>0</v>
      </c>
      <c r="AD35" s="150">
        <f t="shared" si="9"/>
        <v>0</v>
      </c>
      <c r="AE35" s="653" t="e">
        <f t="shared" si="3"/>
        <v>#REF!</v>
      </c>
    </row>
    <row r="36" spans="1:34" hidden="1" x14ac:dyDescent="0.35">
      <c r="C36" s="171"/>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653">
        <f t="shared" si="3"/>
        <v>0</v>
      </c>
    </row>
    <row r="37" spans="1:34" s="705" customFormat="1" hidden="1" x14ac:dyDescent="0.35">
      <c r="C37" s="708" t="s">
        <v>896</v>
      </c>
      <c r="D37" s="707">
        <f>SUM(D36)</f>
        <v>0</v>
      </c>
      <c r="E37" s="707">
        <f>SUM(E36)</f>
        <v>0</v>
      </c>
      <c r="F37" s="707">
        <f>SUM(F36)</f>
        <v>0</v>
      </c>
      <c r="G37" s="707">
        <f>SUM(G36)</f>
        <v>0</v>
      </c>
      <c r="H37" s="150">
        <f t="shared" ref="H37:AD37" si="10">H36</f>
        <v>0</v>
      </c>
      <c r="I37" s="150">
        <f t="shared" si="10"/>
        <v>0</v>
      </c>
      <c r="J37" s="150">
        <f t="shared" si="10"/>
        <v>0</v>
      </c>
      <c r="K37" s="150">
        <f t="shared" si="10"/>
        <v>0</v>
      </c>
      <c r="L37" s="150">
        <f t="shared" si="10"/>
        <v>0</v>
      </c>
      <c r="M37" s="150">
        <f t="shared" si="10"/>
        <v>0</v>
      </c>
      <c r="N37" s="150">
        <f t="shared" si="10"/>
        <v>0</v>
      </c>
      <c r="O37" s="150">
        <f t="shared" si="10"/>
        <v>0</v>
      </c>
      <c r="P37" s="150">
        <f t="shared" si="10"/>
        <v>0</v>
      </c>
      <c r="Q37" s="150">
        <f t="shared" si="10"/>
        <v>0</v>
      </c>
      <c r="R37" s="150">
        <f t="shared" si="10"/>
        <v>0</v>
      </c>
      <c r="S37" s="150">
        <f t="shared" si="10"/>
        <v>0</v>
      </c>
      <c r="T37" s="150">
        <f t="shared" si="10"/>
        <v>0</v>
      </c>
      <c r="U37" s="150">
        <f t="shared" si="10"/>
        <v>0</v>
      </c>
      <c r="V37" s="150">
        <f t="shared" si="10"/>
        <v>0</v>
      </c>
      <c r="W37" s="150">
        <f t="shared" si="10"/>
        <v>0</v>
      </c>
      <c r="X37" s="150">
        <f t="shared" si="10"/>
        <v>0</v>
      </c>
      <c r="Y37" s="150">
        <f t="shared" si="10"/>
        <v>0</v>
      </c>
      <c r="Z37" s="150">
        <f t="shared" si="10"/>
        <v>0</v>
      </c>
      <c r="AA37" s="150">
        <f t="shared" si="10"/>
        <v>0</v>
      </c>
      <c r="AB37" s="150">
        <f t="shared" si="10"/>
        <v>0</v>
      </c>
      <c r="AC37" s="150">
        <f t="shared" si="10"/>
        <v>0</v>
      </c>
      <c r="AD37" s="150">
        <f t="shared" si="10"/>
        <v>0</v>
      </c>
      <c r="AE37" s="706">
        <f t="shared" si="3"/>
        <v>0</v>
      </c>
    </row>
    <row r="38" spans="1:34" ht="29" x14ac:dyDescent="0.35">
      <c r="B38">
        <v>631</v>
      </c>
      <c r="C38" s="1497" t="str">
        <f>VLOOKUP("Outros Tributos (Distintos do IS ou IVE)",tabIdiomas26[],MATCH('Indiv. Invoices Comparison'!$J$2,tabIdiomas26[#Headers]),FALSE)</f>
        <v>Other Taxes (Different from the Corporate Income Tax or the Value Added Tax)</v>
      </c>
      <c r="D38" s="1496">
        <f>'Estim. Gastos'!$H$72</f>
        <v>10.47</v>
      </c>
      <c r="E38" s="1495"/>
      <c r="F38" s="1496">
        <f>D38</f>
        <v>10.47</v>
      </c>
      <c r="G38" s="1495"/>
      <c r="H38" s="1495"/>
      <c r="I38" s="1495"/>
      <c r="J38" s="1495"/>
      <c r="K38" s="1495"/>
      <c r="L38" s="1495"/>
      <c r="M38" s="1495"/>
      <c r="N38" s="1495"/>
      <c r="O38" s="1495"/>
      <c r="P38" s="1495"/>
      <c r="Q38" s="1495"/>
      <c r="R38" s="1495"/>
      <c r="S38" s="1495"/>
      <c r="T38" s="1495"/>
      <c r="U38" s="1495"/>
      <c r="V38" s="1495"/>
      <c r="W38" s="1495"/>
      <c r="X38" s="1495"/>
      <c r="Y38" s="1495"/>
      <c r="Z38" s="1495"/>
      <c r="AA38" s="1495"/>
      <c r="AB38" s="1495"/>
      <c r="AC38" s="1495"/>
      <c r="AD38" s="1495"/>
      <c r="AE38" s="1494">
        <f t="shared" si="3"/>
        <v>10.47</v>
      </c>
      <c r="AF38" s="10"/>
      <c r="AG38" s="10"/>
      <c r="AH38" s="10"/>
    </row>
    <row r="39" spans="1:34" x14ac:dyDescent="0.35">
      <c r="B39">
        <v>659</v>
      </c>
      <c r="C39" s="1493" t="str">
        <f>VLOOKUP("Outras Perdas en Xestión Corrente",tabIdiomas26[],MATCH('Indiv. Invoices Comparison'!$J$2,tabIdiomas26[#Headers]),FALSE)</f>
        <v>Other Losses Arising From Ordinary Corporate Operation Activities</v>
      </c>
      <c r="D39" s="1491">
        <f>'Estim. Gastos'!$F$75</f>
        <v>50</v>
      </c>
      <c r="E39" s="1492"/>
      <c r="F39" s="1491">
        <f>D39</f>
        <v>50</v>
      </c>
      <c r="G39" s="1491">
        <f>F39</f>
        <v>50</v>
      </c>
      <c r="H39" s="1491">
        <f>G39*(1+'Hipóteses xerais (2)'!$C$42)</f>
        <v>51.6</v>
      </c>
      <c r="I39" s="1491">
        <f>H39*(1+'Hipóteses xerais (2)'!$C$42)</f>
        <v>53.251200000000004</v>
      </c>
      <c r="J39" s="1491">
        <f>I39*(1+'Hipóteses xerais (2)'!$C$42)</f>
        <v>54.955238400000006</v>
      </c>
      <c r="K39" s="1491">
        <f>J39*(1+'Hipóteses xerais (2)'!$C$42)</f>
        <v>56.713806028800008</v>
      </c>
      <c r="L39" s="1491">
        <f>K39*(1+'Hipóteses xerais (2)'!$C$42)</f>
        <v>58.528647821721613</v>
      </c>
      <c r="M39" s="1491">
        <f>L39*(1+'Hipóteses xerais (2)'!$C$42)</f>
        <v>60.401564552016708</v>
      </c>
      <c r="N39" s="1491">
        <f>M39*(1+'Hipóteses xerais (2)'!$C$42)</f>
        <v>62.334414617681247</v>
      </c>
      <c r="O39" s="1491">
        <f>N39*(1+'Hipóteses xerais (2)'!$C$42)</f>
        <v>64.329115885447052</v>
      </c>
      <c r="P39" s="1491">
        <f>O39*(1+'Hipóteses xerais (2)'!$C$42)</f>
        <v>66.387647593781367</v>
      </c>
      <c r="Q39" s="1491">
        <f>P39*(1+'Hipóteses xerais (2)'!$C$42)</f>
        <v>68.512052316782373</v>
      </c>
      <c r="R39" s="1491">
        <f>Q39*(1+'Hipóteses xerais (2)'!$C$42)</f>
        <v>70.704437990919416</v>
      </c>
      <c r="S39" s="1491">
        <f>R39*(1+'Hipóteses xerais (2)'!$C$42)</f>
        <v>72.966980006628845</v>
      </c>
      <c r="T39" s="1491">
        <f>S39*(1+'Hipóteses xerais (2)'!$C$42)</f>
        <v>75.301923366840967</v>
      </c>
      <c r="U39" s="1491">
        <f>T39*(1+'Hipóteses xerais (2)'!$C$42)</f>
        <v>77.711584914579873</v>
      </c>
      <c r="V39" s="1491">
        <f>U39*(1+'Hipóteses xerais (2)'!$C$42)</f>
        <v>80.198355631846425</v>
      </c>
      <c r="W39" s="1491">
        <f>V39*(1+'Hipóteses xerais (2)'!$C$42)</f>
        <v>82.76470301206551</v>
      </c>
      <c r="X39" s="1491">
        <f>W39*(1+'Hipóteses xerais (2)'!$C$42)</f>
        <v>85.413173508451607</v>
      </c>
      <c r="Y39" s="1491">
        <f>X39*(1+'Hipóteses xerais (2)'!$C$42)</f>
        <v>88.146395060722057</v>
      </c>
      <c r="Z39" s="1491">
        <f>Y39*(1+'Hipóteses xerais (2)'!$C$42)</f>
        <v>90.96707970266516</v>
      </c>
      <c r="AA39" s="1491">
        <f>Z39*(1+'Hipóteses xerais (2)'!$C$42)</f>
        <v>93.878026253150452</v>
      </c>
      <c r="AB39" s="1491">
        <f>AA39*(1+'Hipóteses xerais (2)'!$C$42)</f>
        <v>96.882123093251266</v>
      </c>
      <c r="AC39" s="1491">
        <f>AB39*(1+'Hipóteses xerais (2)'!$C$42)</f>
        <v>99.982351032235314</v>
      </c>
      <c r="AD39" s="1491">
        <f>AC39*(1+'Hipóteses xerais (2)'!$C$42)</f>
        <v>103.18178626526685</v>
      </c>
      <c r="AE39" s="1490">
        <f t="shared" si="3"/>
        <v>1815.1126070548539</v>
      </c>
    </row>
    <row r="40" spans="1:34" s="13" customFormat="1" x14ac:dyDescent="0.35">
      <c r="C40" s="1489" t="str">
        <f>VLOOKUP("Total Gastos de Explotación",tabIdiomas26[],MATCH('Indiv. Invoices Comparison'!$J$2,tabIdiomas26[#Headers]),FALSE)</f>
        <v>Total Operating Expenses</v>
      </c>
      <c r="D40" s="1488">
        <f t="shared" ref="D40:AD40" si="11">D19+D23+D33+D38+D39</f>
        <v>3590.47</v>
      </c>
      <c r="E40" s="1488">
        <f t="shared" si="11"/>
        <v>0</v>
      </c>
      <c r="F40" s="1488">
        <f t="shared" si="11"/>
        <v>3590.47</v>
      </c>
      <c r="G40" s="1488">
        <f t="shared" si="11"/>
        <v>3580</v>
      </c>
      <c r="H40" s="1488">
        <f t="shared" si="11"/>
        <v>3694.5599999999995</v>
      </c>
      <c r="I40" s="1488">
        <f t="shared" si="11"/>
        <v>3812.7859200000003</v>
      </c>
      <c r="J40" s="1488">
        <f t="shared" si="11"/>
        <v>3934.7950694400006</v>
      </c>
      <c r="K40" s="1488">
        <f t="shared" si="11"/>
        <v>4060.7085116620801</v>
      </c>
      <c r="L40" s="1488">
        <f t="shared" si="11"/>
        <v>4190.6511840352669</v>
      </c>
      <c r="M40" s="1488">
        <f t="shared" si="11"/>
        <v>4324.7520219243952</v>
      </c>
      <c r="N40" s="1488">
        <f t="shared" si="11"/>
        <v>4463.1440866259773</v>
      </c>
      <c r="O40" s="1488">
        <f t="shared" si="11"/>
        <v>4605.964697398008</v>
      </c>
      <c r="P40" s="1488">
        <f t="shared" si="11"/>
        <v>4753.3555677147442</v>
      </c>
      <c r="Q40" s="1488">
        <f t="shared" si="11"/>
        <v>4905.4629458816171</v>
      </c>
      <c r="R40" s="1488">
        <f t="shared" si="11"/>
        <v>5062.4377601498281</v>
      </c>
      <c r="S40" s="1488">
        <f t="shared" si="11"/>
        <v>5224.4357684746237</v>
      </c>
      <c r="T40" s="1488">
        <f t="shared" si="11"/>
        <v>5391.6177130658116</v>
      </c>
      <c r="U40" s="1488">
        <f t="shared" si="11"/>
        <v>5564.1494798839176</v>
      </c>
      <c r="V40" s="1488">
        <f t="shared" si="11"/>
        <v>5742.2022632402031</v>
      </c>
      <c r="W40" s="1488">
        <f t="shared" si="11"/>
        <v>5925.9527356638891</v>
      </c>
      <c r="X40" s="1488">
        <f t="shared" si="11"/>
        <v>6115.5832232051353</v>
      </c>
      <c r="Y40" s="1488">
        <f t="shared" si="11"/>
        <v>6311.2818863476987</v>
      </c>
      <c r="Z40" s="1488">
        <f t="shared" si="11"/>
        <v>6513.242906710826</v>
      </c>
      <c r="AA40" s="1488">
        <f t="shared" si="11"/>
        <v>6721.666679725573</v>
      </c>
      <c r="AB40" s="1488">
        <f t="shared" si="11"/>
        <v>6936.7600134767908</v>
      </c>
      <c r="AC40" s="1488">
        <f t="shared" si="11"/>
        <v>7158.7363339080475</v>
      </c>
      <c r="AD40" s="1488">
        <f t="shared" si="11"/>
        <v>7387.815896593107</v>
      </c>
      <c r="AE40" s="1487">
        <f t="shared" si="3"/>
        <v>129972.53266512754</v>
      </c>
    </row>
    <row r="41" spans="1:34" ht="15" thickBot="1" x14ac:dyDescent="0.4">
      <c r="C41" s="534"/>
      <c r="AE41" s="653">
        <f t="shared" si="3"/>
        <v>0</v>
      </c>
    </row>
    <row r="42" spans="1:34" s="64" customFormat="1" ht="30" thickTop="1" thickBot="1" x14ac:dyDescent="0.4">
      <c r="C42" s="1486" t="str">
        <f>VLOOKUP("EBITDA (Beneficio Antes de Interes, Impostos, Depreciacións e Amotizacións)",tabIdiomas26[],MATCH('Indiv. Invoices Comparison'!$J$2,tabIdiomas26[#Headers]),FALSE)</f>
        <v>EBITDA (Earnings Before Interests, Taxes, Depreciations and Amortizations)</v>
      </c>
      <c r="D42" s="1485">
        <f>D$15-D$40</f>
        <v>7259</v>
      </c>
      <c r="E42" s="1485">
        <f>E13-E40</f>
        <v>0</v>
      </c>
      <c r="F42" s="1485">
        <f t="shared" ref="F42:AD42" si="12">F$15-F$40</f>
        <v>7259</v>
      </c>
      <c r="G42" s="1485">
        <f t="shared" si="12"/>
        <v>7466.6689999999999</v>
      </c>
      <c r="H42" s="1485">
        <f t="shared" si="12"/>
        <v>7680.7757389999988</v>
      </c>
      <c r="I42" s="1485">
        <f t="shared" si="12"/>
        <v>7901.5197869089989</v>
      </c>
      <c r="J42" s="1485">
        <f t="shared" si="12"/>
        <v>8129.1069003031771</v>
      </c>
      <c r="K42" s="1485">
        <f t="shared" si="12"/>
        <v>8363.7492142125739</v>
      </c>
      <c r="L42" s="1485">
        <f t="shared" si="12"/>
        <v>8605.6654398531628</v>
      </c>
      <c r="M42" s="1485">
        <f t="shared" si="12"/>
        <v>8855.0810684886092</v>
      </c>
      <c r="N42" s="1485">
        <f t="shared" si="12"/>
        <v>9112.2285816117546</v>
      </c>
      <c r="O42" s="1485">
        <f t="shared" si="12"/>
        <v>9377.3476676417195</v>
      </c>
      <c r="P42" s="1485">
        <f t="shared" si="12"/>
        <v>9650.6854453386113</v>
      </c>
      <c r="Q42" s="1485">
        <f t="shared" si="12"/>
        <v>9932.4966941441089</v>
      </c>
      <c r="R42" s="1485">
        <f t="shared" si="12"/>
        <v>10223.044091662574</v>
      </c>
      <c r="S42" s="1485">
        <f t="shared" si="12"/>
        <v>10522.598458504111</v>
      </c>
      <c r="T42" s="1485">
        <f t="shared" si="12"/>
        <v>10831.439010717742</v>
      </c>
      <c r="U42" s="1485">
        <f t="shared" si="12"/>
        <v>11149.853620049989</v>
      </c>
      <c r="V42" s="1485">
        <f t="shared" si="12"/>
        <v>11478.139082271537</v>
      </c>
      <c r="W42" s="1485">
        <f t="shared" si="12"/>
        <v>11816.601393821955</v>
      </c>
      <c r="X42" s="1485">
        <f t="shared" si="12"/>
        <v>12165.556037030434</v>
      </c>
      <c r="Y42" s="1485">
        <f t="shared" si="12"/>
        <v>12525.328274178379</v>
      </c>
      <c r="Z42" s="1485">
        <f t="shared" si="12"/>
        <v>12896.253450677903</v>
      </c>
      <c r="AA42" s="1485">
        <f t="shared" si="12"/>
        <v>13278.677307648917</v>
      </c>
      <c r="AB42" s="1485">
        <f t="shared" si="12"/>
        <v>13672.956304186033</v>
      </c>
      <c r="AC42" s="1485">
        <f t="shared" si="12"/>
        <v>14079.4579496158</v>
      </c>
      <c r="AD42" s="1485">
        <f t="shared" si="12"/>
        <v>14498.561146053889</v>
      </c>
      <c r="AE42" s="1484">
        <f t="shared" si="3"/>
        <v>261472.79166392199</v>
      </c>
    </row>
    <row r="43" spans="1:34" ht="15" thickTop="1" x14ac:dyDescent="0.35">
      <c r="A43">
        <v>0.15</v>
      </c>
      <c r="C43" s="537"/>
      <c r="AD43" s="13"/>
      <c r="AE43" s="653">
        <f t="shared" si="3"/>
        <v>0</v>
      </c>
    </row>
    <row r="44" spans="1:34" x14ac:dyDescent="0.35">
      <c r="B44" s="13">
        <v>681</v>
      </c>
      <c r="C44" s="1483" t="str">
        <f>VLOOKUP("Amortización do Investimento",tabIdiomas26[],MATCH('Indiv. Invoices Comparison'!$J$2,tabIdiomas26[#Headers]),FALSE)</f>
        <v>Amortization of the Investment</v>
      </c>
      <c r="D44" s="1482">
        <f>IF('Hipóteses xerais (2)'!$C$94="Si",'Hipóteses xerais (2)'!$C$84,0)</f>
        <v>0</v>
      </c>
      <c r="E44" s="1482"/>
      <c r="F44" s="1482">
        <f>D44</f>
        <v>0</v>
      </c>
      <c r="G44" s="1482">
        <f t="shared" ref="G44:AD44" si="13">F44</f>
        <v>0</v>
      </c>
      <c r="H44" s="1482">
        <f t="shared" si="13"/>
        <v>0</v>
      </c>
      <c r="I44" s="1482">
        <f t="shared" si="13"/>
        <v>0</v>
      </c>
      <c r="J44" s="1482">
        <f t="shared" si="13"/>
        <v>0</v>
      </c>
      <c r="K44" s="1482">
        <f t="shared" si="13"/>
        <v>0</v>
      </c>
      <c r="L44" s="1482">
        <f t="shared" si="13"/>
        <v>0</v>
      </c>
      <c r="M44" s="1482">
        <f t="shared" si="13"/>
        <v>0</v>
      </c>
      <c r="N44" s="1482">
        <f t="shared" si="13"/>
        <v>0</v>
      </c>
      <c r="O44" s="1482">
        <f t="shared" si="13"/>
        <v>0</v>
      </c>
      <c r="P44" s="1482">
        <f t="shared" si="13"/>
        <v>0</v>
      </c>
      <c r="Q44" s="1482">
        <f t="shared" si="13"/>
        <v>0</v>
      </c>
      <c r="R44" s="1482">
        <f t="shared" si="13"/>
        <v>0</v>
      </c>
      <c r="S44" s="1482">
        <f t="shared" si="13"/>
        <v>0</v>
      </c>
      <c r="T44" s="1482">
        <f t="shared" si="13"/>
        <v>0</v>
      </c>
      <c r="U44" s="1482">
        <f t="shared" si="13"/>
        <v>0</v>
      </c>
      <c r="V44" s="1482">
        <f t="shared" si="13"/>
        <v>0</v>
      </c>
      <c r="W44" s="1482">
        <f t="shared" si="13"/>
        <v>0</v>
      </c>
      <c r="X44" s="1482">
        <f t="shared" si="13"/>
        <v>0</v>
      </c>
      <c r="Y44" s="1482">
        <f t="shared" si="13"/>
        <v>0</v>
      </c>
      <c r="Z44" s="1482">
        <f t="shared" si="13"/>
        <v>0</v>
      </c>
      <c r="AA44" s="1482">
        <f t="shared" si="13"/>
        <v>0</v>
      </c>
      <c r="AB44" s="1482">
        <f t="shared" si="13"/>
        <v>0</v>
      </c>
      <c r="AC44" s="1482">
        <f t="shared" si="13"/>
        <v>0</v>
      </c>
      <c r="AD44" s="1482">
        <f t="shared" si="13"/>
        <v>0</v>
      </c>
      <c r="AE44" s="1481">
        <f t="shared" si="3"/>
        <v>0</v>
      </c>
    </row>
    <row r="45" spans="1:34" x14ac:dyDescent="0.35">
      <c r="C45" s="696"/>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653">
        <f t="shared" si="3"/>
        <v>0</v>
      </c>
    </row>
    <row r="46" spans="1:34" s="64" customFormat="1" x14ac:dyDescent="0.35">
      <c r="C46" s="1480" t="str">
        <f>VLOOKUP("EBIT (Beneficio Antes de Intereses e Impostos)",tabIdiomas26[],MATCH('Indiv. Invoices Comparison'!$J$2,tabIdiomas26[#Headers]),FALSE)</f>
        <v>EBIT (Earnings Before Interests and Taxes)</v>
      </c>
      <c r="D46" s="1479">
        <f t="shared" ref="D46:AD46" si="14">D42-D44</f>
        <v>7259</v>
      </c>
      <c r="E46" s="1479">
        <f t="shared" si="14"/>
        <v>0</v>
      </c>
      <c r="F46" s="1479">
        <f t="shared" si="14"/>
        <v>7259</v>
      </c>
      <c r="G46" s="1479">
        <f t="shared" si="14"/>
        <v>7466.6689999999999</v>
      </c>
      <c r="H46" s="1479">
        <f t="shared" si="14"/>
        <v>7680.7757389999988</v>
      </c>
      <c r="I46" s="1479">
        <f t="shared" si="14"/>
        <v>7901.5197869089989</v>
      </c>
      <c r="J46" s="1479">
        <f t="shared" si="14"/>
        <v>8129.1069003031771</v>
      </c>
      <c r="K46" s="1479">
        <f t="shared" si="14"/>
        <v>8363.7492142125739</v>
      </c>
      <c r="L46" s="1479">
        <f t="shared" si="14"/>
        <v>8605.6654398531628</v>
      </c>
      <c r="M46" s="1479">
        <f t="shared" si="14"/>
        <v>8855.0810684886092</v>
      </c>
      <c r="N46" s="1479">
        <f t="shared" si="14"/>
        <v>9112.2285816117546</v>
      </c>
      <c r="O46" s="1479">
        <f t="shared" si="14"/>
        <v>9377.3476676417195</v>
      </c>
      <c r="P46" s="1479">
        <f t="shared" si="14"/>
        <v>9650.6854453386113</v>
      </c>
      <c r="Q46" s="1479">
        <f t="shared" si="14"/>
        <v>9932.4966941441089</v>
      </c>
      <c r="R46" s="1479">
        <f t="shared" si="14"/>
        <v>10223.044091662574</v>
      </c>
      <c r="S46" s="1479">
        <f t="shared" si="14"/>
        <v>10522.598458504111</v>
      </c>
      <c r="T46" s="1479">
        <f t="shared" si="14"/>
        <v>10831.439010717742</v>
      </c>
      <c r="U46" s="1479">
        <f t="shared" si="14"/>
        <v>11149.853620049989</v>
      </c>
      <c r="V46" s="1479">
        <f t="shared" si="14"/>
        <v>11478.139082271537</v>
      </c>
      <c r="W46" s="1479">
        <f t="shared" si="14"/>
        <v>11816.601393821955</v>
      </c>
      <c r="X46" s="1479">
        <f t="shared" si="14"/>
        <v>12165.556037030434</v>
      </c>
      <c r="Y46" s="1479">
        <f t="shared" si="14"/>
        <v>12525.328274178379</v>
      </c>
      <c r="Z46" s="1479">
        <f t="shared" si="14"/>
        <v>12896.253450677903</v>
      </c>
      <c r="AA46" s="1479">
        <f t="shared" si="14"/>
        <v>13278.677307648917</v>
      </c>
      <c r="AB46" s="1479">
        <f t="shared" si="14"/>
        <v>13672.956304186033</v>
      </c>
      <c r="AC46" s="1479">
        <f t="shared" si="14"/>
        <v>14079.4579496158</v>
      </c>
      <c r="AD46" s="1479">
        <f t="shared" si="14"/>
        <v>14498.561146053889</v>
      </c>
      <c r="AE46" s="1478">
        <f t="shared" si="3"/>
        <v>261472.79166392199</v>
      </c>
    </row>
    <row r="47" spans="1:34" x14ac:dyDescent="0.35">
      <c r="C47" s="171"/>
      <c r="AE47" s="653">
        <f t="shared" si="3"/>
        <v>0</v>
      </c>
    </row>
    <row r="48" spans="1:34" x14ac:dyDescent="0.35">
      <c r="C48" s="1477" t="str">
        <f>VLOOKUP("Ingresos Financeiros",tabIdiomas26[],MATCH('Indiv. Invoices Comparison'!$J$2,tabIdiomas26[#Headers]),FALSE)</f>
        <v>Financial Income</v>
      </c>
      <c r="D48" s="1476"/>
      <c r="E48" s="1476"/>
      <c r="F48" s="1476">
        <v>0</v>
      </c>
      <c r="G48" s="1476">
        <f t="shared" ref="G48:AD48" si="15">F48</f>
        <v>0</v>
      </c>
      <c r="H48" s="1476">
        <f t="shared" si="15"/>
        <v>0</v>
      </c>
      <c r="I48" s="1476">
        <f t="shared" si="15"/>
        <v>0</v>
      </c>
      <c r="J48" s="1476">
        <f t="shared" si="15"/>
        <v>0</v>
      </c>
      <c r="K48" s="1476">
        <f t="shared" si="15"/>
        <v>0</v>
      </c>
      <c r="L48" s="1476">
        <f t="shared" si="15"/>
        <v>0</v>
      </c>
      <c r="M48" s="1476">
        <f t="shared" si="15"/>
        <v>0</v>
      </c>
      <c r="N48" s="1476">
        <f t="shared" si="15"/>
        <v>0</v>
      </c>
      <c r="O48" s="1476">
        <f t="shared" si="15"/>
        <v>0</v>
      </c>
      <c r="P48" s="1476">
        <f t="shared" si="15"/>
        <v>0</v>
      </c>
      <c r="Q48" s="1476">
        <f t="shared" si="15"/>
        <v>0</v>
      </c>
      <c r="R48" s="1476">
        <f t="shared" si="15"/>
        <v>0</v>
      </c>
      <c r="S48" s="1476">
        <f t="shared" si="15"/>
        <v>0</v>
      </c>
      <c r="T48" s="1476">
        <f t="shared" si="15"/>
        <v>0</v>
      </c>
      <c r="U48" s="1476">
        <f t="shared" si="15"/>
        <v>0</v>
      </c>
      <c r="V48" s="1476">
        <f t="shared" si="15"/>
        <v>0</v>
      </c>
      <c r="W48" s="1476">
        <f t="shared" si="15"/>
        <v>0</v>
      </c>
      <c r="X48" s="1476">
        <f t="shared" si="15"/>
        <v>0</v>
      </c>
      <c r="Y48" s="1476">
        <f t="shared" si="15"/>
        <v>0</v>
      </c>
      <c r="Z48" s="1476">
        <f t="shared" si="15"/>
        <v>0</v>
      </c>
      <c r="AA48" s="1476">
        <f t="shared" si="15"/>
        <v>0</v>
      </c>
      <c r="AB48" s="1476">
        <f t="shared" si="15"/>
        <v>0</v>
      </c>
      <c r="AC48" s="1476">
        <f t="shared" si="15"/>
        <v>0</v>
      </c>
      <c r="AD48" s="1476">
        <f t="shared" si="15"/>
        <v>0</v>
      </c>
      <c r="AE48" s="1475">
        <f t="shared" si="3"/>
        <v>0</v>
      </c>
    </row>
    <row r="49" spans="2:31" x14ac:dyDescent="0.35">
      <c r="C49" s="1477" t="str">
        <f>VLOOKUP("Gastos Financeiros",tabIdiomas26[],MATCH('Indiv. Invoices Comparison'!$J$2,tabIdiomas26[#Headers]),FALSE)</f>
        <v>Financial Expenses</v>
      </c>
      <c r="D49" s="1476"/>
      <c r="E49" s="1476"/>
      <c r="F49" s="1476">
        <f>'x Financiamento'!C12+'x Financiamento'!D4</f>
        <v>0</v>
      </c>
      <c r="G49" s="1476">
        <f>'x Financiamento'!C13</f>
        <v>0</v>
      </c>
      <c r="H49" s="1476">
        <f>'x Financiamento'!C14</f>
        <v>0</v>
      </c>
      <c r="I49" s="1476">
        <f>'x Financiamento'!C15</f>
        <v>0</v>
      </c>
      <c r="J49" s="1476">
        <f>'x Financiamento'!C16</f>
        <v>0</v>
      </c>
      <c r="K49" s="1476">
        <f>'x Financiamento'!C17</f>
        <v>0</v>
      </c>
      <c r="L49" s="1476">
        <f>'x Financiamento'!C18</f>
        <v>0</v>
      </c>
      <c r="M49" s="1476">
        <f>'x Financiamento'!C19</f>
        <v>0</v>
      </c>
      <c r="N49" s="1476">
        <f>'x Financiamento'!C20</f>
        <v>0</v>
      </c>
      <c r="O49" s="1476">
        <f>'x Financiamento'!C21</f>
        <v>0</v>
      </c>
      <c r="P49" s="1476">
        <f>'x Financiamento'!C22</f>
        <v>0</v>
      </c>
      <c r="Q49" s="1476">
        <f>'x Financiamento'!C23</f>
        <v>0</v>
      </c>
      <c r="R49" s="1476">
        <f>'x Financiamento'!C24</f>
        <v>0</v>
      </c>
      <c r="S49" s="1476">
        <f>'x Financiamento'!C25</f>
        <v>0</v>
      </c>
      <c r="T49" s="1476">
        <f>'x Financiamento'!C26</f>
        <v>0</v>
      </c>
      <c r="U49" s="1476">
        <f>'x Financiamento'!C27</f>
        <v>0</v>
      </c>
      <c r="V49" s="1476">
        <f>'x Financiamento'!C28</f>
        <v>0</v>
      </c>
      <c r="W49" s="1476">
        <f>'x Financiamento'!C29</f>
        <v>0</v>
      </c>
      <c r="X49" s="1476">
        <f>'x Financiamento'!C30</f>
        <v>0</v>
      </c>
      <c r="Y49" s="1476">
        <f>'x Financiamento'!C31</f>
        <v>0</v>
      </c>
      <c r="Z49" s="1476">
        <f>'x Financiamento'!C32</f>
        <v>0</v>
      </c>
      <c r="AA49" s="1476">
        <f>'x Financiamento'!C33</f>
        <v>0</v>
      </c>
      <c r="AB49" s="1476">
        <f>'x Financiamento'!C34</f>
        <v>0</v>
      </c>
      <c r="AC49" s="1476">
        <f>'x Financiamento'!C35</f>
        <v>0</v>
      </c>
      <c r="AD49" s="1476">
        <f>'x Financiamento'!C36</f>
        <v>0</v>
      </c>
      <c r="AE49" s="1475">
        <f t="shared" si="3"/>
        <v>0</v>
      </c>
    </row>
    <row r="50" spans="2:31" ht="15" thickBot="1" x14ac:dyDescent="0.4">
      <c r="C50" s="534"/>
      <c r="D50" s="150"/>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653">
        <f t="shared" si="3"/>
        <v>0</v>
      </c>
    </row>
    <row r="51" spans="2:31" ht="15.5" thickTop="1" thickBot="1" x14ac:dyDescent="0.4">
      <c r="C51" s="1474" t="str">
        <f>VLOOKUP("Resultado Antes de Impostos",tabIdiomas26[],MATCH('Indiv. Invoices Comparison'!$J$2,tabIdiomas26[#Headers]),FALSE)</f>
        <v>Earnings Before Taxes</v>
      </c>
      <c r="D51" s="1473"/>
      <c r="E51" s="1473"/>
      <c r="F51" s="1473">
        <f t="shared" ref="F51:AE51" si="16">F46+F48-F49</f>
        <v>7259</v>
      </c>
      <c r="G51" s="1473">
        <f t="shared" si="16"/>
        <v>7466.6689999999999</v>
      </c>
      <c r="H51" s="1473">
        <f t="shared" si="16"/>
        <v>7680.7757389999988</v>
      </c>
      <c r="I51" s="1473">
        <f t="shared" si="16"/>
        <v>7901.5197869089989</v>
      </c>
      <c r="J51" s="1473">
        <f t="shared" si="16"/>
        <v>8129.1069003031771</v>
      </c>
      <c r="K51" s="1473">
        <f t="shared" si="16"/>
        <v>8363.7492142125739</v>
      </c>
      <c r="L51" s="1473">
        <f t="shared" si="16"/>
        <v>8605.6654398531628</v>
      </c>
      <c r="M51" s="1473">
        <f t="shared" si="16"/>
        <v>8855.0810684886092</v>
      </c>
      <c r="N51" s="1473">
        <f t="shared" si="16"/>
        <v>9112.2285816117546</v>
      </c>
      <c r="O51" s="1473">
        <f t="shared" si="16"/>
        <v>9377.3476676417195</v>
      </c>
      <c r="P51" s="1473">
        <f t="shared" si="16"/>
        <v>9650.6854453386113</v>
      </c>
      <c r="Q51" s="1473">
        <f t="shared" si="16"/>
        <v>9932.4966941441089</v>
      </c>
      <c r="R51" s="1473">
        <f t="shared" si="16"/>
        <v>10223.044091662574</v>
      </c>
      <c r="S51" s="1473">
        <f t="shared" si="16"/>
        <v>10522.598458504111</v>
      </c>
      <c r="T51" s="1473">
        <f t="shared" si="16"/>
        <v>10831.439010717742</v>
      </c>
      <c r="U51" s="1473">
        <f t="shared" si="16"/>
        <v>11149.853620049989</v>
      </c>
      <c r="V51" s="1473">
        <f t="shared" si="16"/>
        <v>11478.139082271537</v>
      </c>
      <c r="W51" s="1473">
        <f t="shared" si="16"/>
        <v>11816.601393821955</v>
      </c>
      <c r="X51" s="1473">
        <f t="shared" si="16"/>
        <v>12165.556037030434</v>
      </c>
      <c r="Y51" s="1473">
        <f t="shared" si="16"/>
        <v>12525.328274178379</v>
      </c>
      <c r="Z51" s="1473">
        <f t="shared" si="16"/>
        <v>12896.253450677903</v>
      </c>
      <c r="AA51" s="1473">
        <f t="shared" si="16"/>
        <v>13278.677307648917</v>
      </c>
      <c r="AB51" s="1473">
        <f t="shared" si="16"/>
        <v>13672.956304186033</v>
      </c>
      <c r="AC51" s="1473">
        <f t="shared" si="16"/>
        <v>14079.4579496158</v>
      </c>
      <c r="AD51" s="1472">
        <f t="shared" si="16"/>
        <v>14498.561146053889</v>
      </c>
      <c r="AE51" s="1471">
        <f t="shared" si="16"/>
        <v>261472.79166392199</v>
      </c>
    </row>
    <row r="52" spans="2:31" ht="15" thickTop="1" x14ac:dyDescent="0.35">
      <c r="C52" s="171"/>
      <c r="AD52" s="694"/>
      <c r="AE52" s="663">
        <f t="shared" ref="AE52:AE57" si="17">SUM(F52:AD52)</f>
        <v>0</v>
      </c>
    </row>
    <row r="53" spans="2:31" x14ac:dyDescent="0.35">
      <c r="B53" s="38">
        <v>0.25</v>
      </c>
      <c r="C53" s="1470" t="str">
        <f>VLOOKUP("Imposto sobre Sociedades (IS)",tabIdiomas26[],MATCH('Indiv. Invoices Comparison'!$J$2,tabIdiomas26[#Headers]),FALSE)</f>
        <v>Corporate Income Tax</v>
      </c>
      <c r="D53" s="1469"/>
      <c r="E53" s="1469"/>
      <c r="F53" s="1468">
        <f>F51*'Hipóteses xerais (2)'!$C$16</f>
        <v>1814.75</v>
      </c>
      <c r="G53" s="1468">
        <f>G51*'Hipóteses xerais (2)'!$C$16</f>
        <v>1866.66725</v>
      </c>
      <c r="H53" s="1468">
        <f>H51*'Hipóteses xerais (2)'!$C$16</f>
        <v>1920.1939347499997</v>
      </c>
      <c r="I53" s="1468">
        <f>I51*'Hipóteses xerais (2)'!$C$16</f>
        <v>1975.3799467272497</v>
      </c>
      <c r="J53" s="1468">
        <f>J51*'Hipóteses xerais (2)'!$C$16</f>
        <v>2032.2767250757943</v>
      </c>
      <c r="K53" s="1468">
        <f>K51*'Hipóteses xerais (2)'!$C$16</f>
        <v>2090.9373035531435</v>
      </c>
      <c r="L53" s="1468">
        <f>L51*'Hipóteses xerais (2)'!$C$16</f>
        <v>2151.4163599632907</v>
      </c>
      <c r="M53" s="1468">
        <f>M51*'Hipóteses xerais (2)'!$C$16</f>
        <v>2213.7702671221523</v>
      </c>
      <c r="N53" s="1468">
        <f>N51*'Hipóteses xerais (2)'!$C$16</f>
        <v>2278.0571454029387</v>
      </c>
      <c r="O53" s="1468">
        <f>O51*'Hipóteses xerais (2)'!$C$16</f>
        <v>2344.3369169104299</v>
      </c>
      <c r="P53" s="1468">
        <f>P51*'Hipóteses xerais (2)'!$C$16</f>
        <v>2412.6713613346528</v>
      </c>
      <c r="Q53" s="1468">
        <f>Q51*'Hipóteses xerais (2)'!$C$16</f>
        <v>2483.1241735360272</v>
      </c>
      <c r="R53" s="1468">
        <f>R51*'Hipóteses xerais (2)'!$C$16</f>
        <v>2555.7610229156435</v>
      </c>
      <c r="S53" s="1468">
        <f>S51*'Hipóteses xerais (2)'!$C$16</f>
        <v>2630.6496146260279</v>
      </c>
      <c r="T53" s="1468">
        <f>T51*'Hipóteses xerais (2)'!$C$16</f>
        <v>2707.8597526794356</v>
      </c>
      <c r="U53" s="1468">
        <f>U51*'Hipóteses xerais (2)'!$C$16</f>
        <v>2787.4634050124973</v>
      </c>
      <c r="V53" s="1468">
        <f>V51*'Hipóteses xerais (2)'!$C$16</f>
        <v>2869.5347705678842</v>
      </c>
      <c r="W53" s="1468">
        <f>W51*'Hipóteses xerais (2)'!$C$16</f>
        <v>2954.1503484554887</v>
      </c>
      <c r="X53" s="1468">
        <f>X51*'Hipóteses xerais (2)'!$C$16</f>
        <v>3041.3890092576084</v>
      </c>
      <c r="Y53" s="1468">
        <f>Y51*'Hipóteses xerais (2)'!$C$16</f>
        <v>3131.3320685445947</v>
      </c>
      <c r="Z53" s="1468">
        <f>Z51*'Hipóteses xerais (2)'!$C$16</f>
        <v>3224.0633626694757</v>
      </c>
      <c r="AA53" s="1468">
        <f>AA51*'Hipóteses xerais (2)'!$C$16</f>
        <v>3319.6693269122293</v>
      </c>
      <c r="AB53" s="1468">
        <f>AB51*'Hipóteses xerais (2)'!$C$16</f>
        <v>3418.2390760465082</v>
      </c>
      <c r="AC53" s="1468">
        <f>AC51*'Hipóteses xerais (2)'!$C$16</f>
        <v>3519.8644874039501</v>
      </c>
      <c r="AD53" s="1467">
        <f>AD51*'Hipóteses xerais (2)'!$C$16</f>
        <v>3624.6402865134723</v>
      </c>
      <c r="AE53" s="1466">
        <f t="shared" si="17"/>
        <v>65368.197915980498</v>
      </c>
    </row>
    <row r="54" spans="2:31" hidden="1" x14ac:dyDescent="0.35">
      <c r="C54" s="171" t="s">
        <v>886</v>
      </c>
      <c r="H54" s="150"/>
      <c r="I54" s="150"/>
      <c r="J54" s="150"/>
      <c r="K54" s="150"/>
      <c r="L54" s="150"/>
      <c r="M54" s="150"/>
      <c r="N54" s="150"/>
      <c r="O54" s="150"/>
      <c r="P54" s="150"/>
      <c r="Q54" s="150"/>
      <c r="R54" s="150"/>
      <c r="S54" s="150"/>
      <c r="T54" s="150"/>
      <c r="AD54" s="694"/>
      <c r="AE54" s="653">
        <f t="shared" si="17"/>
        <v>0</v>
      </c>
    </row>
    <row r="55" spans="2:31" hidden="1" x14ac:dyDescent="0.35">
      <c r="C55" s="171" t="s">
        <v>885</v>
      </c>
      <c r="H55" s="150"/>
      <c r="I55" s="150"/>
      <c r="J55" s="150"/>
      <c r="K55" s="150"/>
      <c r="L55" s="150"/>
      <c r="M55" s="150"/>
      <c r="N55" s="150"/>
      <c r="O55" s="150"/>
      <c r="P55" s="150"/>
      <c r="Q55" s="150"/>
      <c r="R55" s="150"/>
      <c r="S55" s="150"/>
      <c r="T55" s="150"/>
      <c r="AD55" s="694"/>
      <c r="AE55" s="653">
        <f t="shared" si="17"/>
        <v>0</v>
      </c>
    </row>
    <row r="56" spans="2:31" ht="15" thickBot="1" x14ac:dyDescent="0.4">
      <c r="C56" s="171"/>
      <c r="AD56" s="694"/>
      <c r="AE56" s="693">
        <f t="shared" si="17"/>
        <v>0</v>
      </c>
    </row>
    <row r="57" spans="2:31" ht="15.5" thickTop="1" thickBot="1" x14ac:dyDescent="0.4">
      <c r="C57" s="1465" t="str">
        <f>VLOOKUP("Resultado Neto",tabIdiomas26[],MATCH('Indiv. Invoices Comparison'!$J$2,tabIdiomas26[#Headers]),FALSE)</f>
        <v>Net Result</v>
      </c>
      <c r="D57" s="1464"/>
      <c r="E57" s="1464"/>
      <c r="F57" s="1463">
        <f t="shared" ref="F57:AD57" si="18">F51-F53</f>
        <v>5444.25</v>
      </c>
      <c r="G57" s="1463">
        <f t="shared" si="18"/>
        <v>5600.0017499999994</v>
      </c>
      <c r="H57" s="1463">
        <f t="shared" si="18"/>
        <v>5760.5818042499995</v>
      </c>
      <c r="I57" s="1463">
        <f t="shared" si="18"/>
        <v>5926.1398401817496</v>
      </c>
      <c r="J57" s="1463">
        <f t="shared" si="18"/>
        <v>6096.8301752273828</v>
      </c>
      <c r="K57" s="1463">
        <f t="shared" si="18"/>
        <v>6272.8119106594304</v>
      </c>
      <c r="L57" s="1463">
        <f t="shared" si="18"/>
        <v>6454.2490798898725</v>
      </c>
      <c r="M57" s="1463">
        <f t="shared" si="18"/>
        <v>6641.3108013664569</v>
      </c>
      <c r="N57" s="1463">
        <f t="shared" si="18"/>
        <v>6834.171436208816</v>
      </c>
      <c r="O57" s="1463">
        <f t="shared" si="18"/>
        <v>7033.0107507312896</v>
      </c>
      <c r="P57" s="1463">
        <f t="shared" si="18"/>
        <v>7238.0140840039585</v>
      </c>
      <c r="Q57" s="1463">
        <f t="shared" si="18"/>
        <v>7449.3725206080817</v>
      </c>
      <c r="R57" s="1463">
        <f t="shared" si="18"/>
        <v>7667.2830687469304</v>
      </c>
      <c r="S57" s="1463">
        <f t="shared" si="18"/>
        <v>7891.9488438780836</v>
      </c>
      <c r="T57" s="1463">
        <f t="shared" si="18"/>
        <v>8123.5792580383068</v>
      </c>
      <c r="U57" s="1463">
        <f t="shared" si="18"/>
        <v>8362.3902150374925</v>
      </c>
      <c r="V57" s="1463">
        <f t="shared" si="18"/>
        <v>8608.6043117036534</v>
      </c>
      <c r="W57" s="1463">
        <f t="shared" si="18"/>
        <v>8862.4510453664661</v>
      </c>
      <c r="X57" s="1463">
        <f t="shared" si="18"/>
        <v>9124.1670277728263</v>
      </c>
      <c r="Y57" s="1463">
        <f t="shared" si="18"/>
        <v>9393.9962056337845</v>
      </c>
      <c r="Z57" s="1463">
        <f t="shared" si="18"/>
        <v>9672.1900880084268</v>
      </c>
      <c r="AA57" s="1463">
        <f t="shared" si="18"/>
        <v>9959.0079807366874</v>
      </c>
      <c r="AB57" s="1463">
        <f t="shared" si="18"/>
        <v>10254.717228139525</v>
      </c>
      <c r="AC57" s="1463">
        <f t="shared" si="18"/>
        <v>10559.593462211851</v>
      </c>
      <c r="AD57" s="1462">
        <f t="shared" si="18"/>
        <v>10873.920859540416</v>
      </c>
      <c r="AE57" s="1461">
        <f t="shared" si="17"/>
        <v>196104.59374794149</v>
      </c>
    </row>
    <row r="58" spans="2:31" ht="15" thickTop="1" x14ac:dyDescent="0.35"/>
    <row r="59" spans="2:31" ht="15" thickBot="1" x14ac:dyDescent="0.4">
      <c r="F59" s="150"/>
    </row>
    <row r="60" spans="2:31" ht="15" thickTop="1" x14ac:dyDescent="0.35">
      <c r="B60" s="150"/>
      <c r="C60" s="1460" t="str">
        <f>VLOOKUP("Resumo da Conta de Resultados:",tabIdiomas26[],MATCH('Indiv. Invoices Comparison'!$J$2,tabIdiomas26[#Headers]),FALSE)</f>
        <v>Results Account Summary:</v>
      </c>
      <c r="D60" s="1849"/>
      <c r="E60" s="1850"/>
      <c r="F60" s="1458">
        <f t="shared" ref="F60:AE60" si="19">F4</f>
        <v>1</v>
      </c>
      <c r="G60" s="1458">
        <f t="shared" si="19"/>
        <v>2</v>
      </c>
      <c r="H60" s="1458">
        <f t="shared" si="19"/>
        <v>3</v>
      </c>
      <c r="I60" s="1458">
        <f t="shared" si="19"/>
        <v>4</v>
      </c>
      <c r="J60" s="1458">
        <f t="shared" si="19"/>
        <v>5</v>
      </c>
      <c r="K60" s="1458">
        <f t="shared" si="19"/>
        <v>6</v>
      </c>
      <c r="L60" s="1458">
        <f t="shared" si="19"/>
        <v>7</v>
      </c>
      <c r="M60" s="1458">
        <f t="shared" si="19"/>
        <v>8</v>
      </c>
      <c r="N60" s="1458">
        <f t="shared" si="19"/>
        <v>9</v>
      </c>
      <c r="O60" s="1458">
        <f t="shared" si="19"/>
        <v>10</v>
      </c>
      <c r="P60" s="1458">
        <f t="shared" si="19"/>
        <v>11</v>
      </c>
      <c r="Q60" s="1458">
        <f t="shared" si="19"/>
        <v>12</v>
      </c>
      <c r="R60" s="1458">
        <f t="shared" si="19"/>
        <v>13</v>
      </c>
      <c r="S60" s="1458">
        <f t="shared" si="19"/>
        <v>14</v>
      </c>
      <c r="T60" s="1458">
        <f t="shared" si="19"/>
        <v>15</v>
      </c>
      <c r="U60" s="1458">
        <f t="shared" si="19"/>
        <v>16</v>
      </c>
      <c r="V60" s="1458">
        <f t="shared" si="19"/>
        <v>17</v>
      </c>
      <c r="W60" s="1458">
        <f t="shared" si="19"/>
        <v>18</v>
      </c>
      <c r="X60" s="1458">
        <f t="shared" si="19"/>
        <v>19</v>
      </c>
      <c r="Y60" s="1458">
        <f t="shared" si="19"/>
        <v>20</v>
      </c>
      <c r="Z60" s="1458">
        <f t="shared" si="19"/>
        <v>21</v>
      </c>
      <c r="AA60" s="1458">
        <f t="shared" si="19"/>
        <v>22</v>
      </c>
      <c r="AB60" s="1458">
        <f t="shared" si="19"/>
        <v>23</v>
      </c>
      <c r="AC60" s="1458">
        <f t="shared" si="19"/>
        <v>24</v>
      </c>
      <c r="AD60" s="1458">
        <f t="shared" si="19"/>
        <v>25</v>
      </c>
      <c r="AE60" s="1457" t="str">
        <f t="shared" si="19"/>
        <v>Cummulative Values (Sum)</v>
      </c>
    </row>
    <row r="61" spans="2:31" ht="15" thickBot="1" x14ac:dyDescent="0.4">
      <c r="C61" s="1456"/>
      <c r="D61" s="1455"/>
      <c r="E61" s="1454"/>
      <c r="F61" s="1453">
        <f t="shared" ref="F61:AE61" si="20">F5</f>
        <v>2025</v>
      </c>
      <c r="G61" s="1453">
        <f t="shared" si="20"/>
        <v>2026</v>
      </c>
      <c r="H61" s="1453">
        <f t="shared" si="20"/>
        <v>2027</v>
      </c>
      <c r="I61" s="1453">
        <f t="shared" si="20"/>
        <v>2028</v>
      </c>
      <c r="J61" s="1453">
        <f t="shared" si="20"/>
        <v>2029</v>
      </c>
      <c r="K61" s="1453">
        <f t="shared" si="20"/>
        <v>2030</v>
      </c>
      <c r="L61" s="1453">
        <f t="shared" si="20"/>
        <v>2031</v>
      </c>
      <c r="M61" s="1453">
        <f t="shared" si="20"/>
        <v>2032</v>
      </c>
      <c r="N61" s="1453">
        <f t="shared" si="20"/>
        <v>2033</v>
      </c>
      <c r="O61" s="1453">
        <f t="shared" si="20"/>
        <v>2034</v>
      </c>
      <c r="P61" s="1453">
        <f t="shared" si="20"/>
        <v>2035</v>
      </c>
      <c r="Q61" s="1453">
        <f t="shared" si="20"/>
        <v>2036</v>
      </c>
      <c r="R61" s="1453">
        <f t="shared" si="20"/>
        <v>2037</v>
      </c>
      <c r="S61" s="1453">
        <f t="shared" si="20"/>
        <v>2038</v>
      </c>
      <c r="T61" s="1453">
        <f t="shared" si="20"/>
        <v>2039</v>
      </c>
      <c r="U61" s="1453">
        <f t="shared" si="20"/>
        <v>2040</v>
      </c>
      <c r="V61" s="1453">
        <f t="shared" si="20"/>
        <v>2041</v>
      </c>
      <c r="W61" s="1453">
        <f t="shared" si="20"/>
        <v>2042</v>
      </c>
      <c r="X61" s="1453">
        <f t="shared" si="20"/>
        <v>2043</v>
      </c>
      <c r="Y61" s="1453">
        <f t="shared" si="20"/>
        <v>2044</v>
      </c>
      <c r="Z61" s="1453">
        <f t="shared" si="20"/>
        <v>2045</v>
      </c>
      <c r="AA61" s="1453">
        <f t="shared" si="20"/>
        <v>2046</v>
      </c>
      <c r="AB61" s="1453">
        <f t="shared" si="20"/>
        <v>2047</v>
      </c>
      <c r="AC61" s="1453">
        <f t="shared" si="20"/>
        <v>2048</v>
      </c>
      <c r="AD61" s="1453">
        <f t="shared" si="20"/>
        <v>2049</v>
      </c>
      <c r="AE61" s="1452" t="str">
        <f t="shared" si="20"/>
        <v>Complete Project Lifetime</v>
      </c>
    </row>
    <row r="62" spans="2:31" ht="14.5" customHeight="1" thickTop="1" x14ac:dyDescent="0.35">
      <c r="C62" s="1451" t="str">
        <f>VLOOKUP("Suma de Ingresos Monetarios (Cotas)",tabIdiomas26[],MATCH('Indiv. Invoices Comparison'!$J$2,tabIdiomas26[#Headers]),FALSE)</f>
        <v>Sum of Monetary Income (Membership Fees)</v>
      </c>
      <c r="D62" s="1450"/>
      <c r="E62" s="1450"/>
      <c r="F62" s="1449">
        <f t="shared" ref="F62:AD62" si="21">F13</f>
        <v>2470.4699999999998</v>
      </c>
      <c r="G62" s="1449">
        <f t="shared" si="21"/>
        <v>2460</v>
      </c>
      <c r="H62" s="1449">
        <f t="shared" si="21"/>
        <v>2574.5599999999995</v>
      </c>
      <c r="I62" s="1449">
        <f t="shared" si="21"/>
        <v>2692.7859200000003</v>
      </c>
      <c r="J62" s="1449">
        <f t="shared" si="21"/>
        <v>2814.7950694400001</v>
      </c>
      <c r="K62" s="1449">
        <f t="shared" si="21"/>
        <v>2940.7085116620801</v>
      </c>
      <c r="L62" s="1449">
        <f t="shared" si="21"/>
        <v>3070.6511840352669</v>
      </c>
      <c r="M62" s="1449">
        <f t="shared" si="21"/>
        <v>3204.7520219243952</v>
      </c>
      <c r="N62" s="1449">
        <f t="shared" si="21"/>
        <v>3343.1440866259768</v>
      </c>
      <c r="O62" s="1449">
        <f t="shared" si="21"/>
        <v>3485.9646973980075</v>
      </c>
      <c r="P62" s="1449">
        <f t="shared" si="21"/>
        <v>3633.3555677147442</v>
      </c>
      <c r="Q62" s="1449">
        <f t="shared" si="21"/>
        <v>3785.4629458816171</v>
      </c>
      <c r="R62" s="1449">
        <f t="shared" si="21"/>
        <v>3942.4377601498277</v>
      </c>
      <c r="S62" s="1449">
        <f t="shared" si="21"/>
        <v>4104.4357684746237</v>
      </c>
      <c r="T62" s="1449">
        <f t="shared" si="21"/>
        <v>4271.6177130658116</v>
      </c>
      <c r="U62" s="1449">
        <f t="shared" si="21"/>
        <v>4444.1494798839176</v>
      </c>
      <c r="V62" s="1449">
        <f t="shared" si="21"/>
        <v>4622.2022632402031</v>
      </c>
      <c r="W62" s="1449">
        <f t="shared" si="21"/>
        <v>4805.9527356638891</v>
      </c>
      <c r="X62" s="1449">
        <f t="shared" si="21"/>
        <v>4995.5832232051353</v>
      </c>
      <c r="Y62" s="1449">
        <f t="shared" si="21"/>
        <v>5191.2818863476987</v>
      </c>
      <c r="Z62" s="1449">
        <f t="shared" si="21"/>
        <v>5393.242906710826</v>
      </c>
      <c r="AA62" s="1449">
        <f t="shared" si="21"/>
        <v>5601.6666797255721</v>
      </c>
      <c r="AB62" s="1449">
        <f t="shared" si="21"/>
        <v>5816.7600134767908</v>
      </c>
      <c r="AC62" s="1449">
        <f t="shared" si="21"/>
        <v>6038.7363339080466</v>
      </c>
      <c r="AD62" s="1449">
        <f t="shared" si="21"/>
        <v>6267.8158965931061</v>
      </c>
      <c r="AE62" s="1448">
        <f>SUM(F62:AD62)</f>
        <v>101972.53266512754</v>
      </c>
    </row>
    <row r="63" spans="2:31" x14ac:dyDescent="0.35">
      <c r="C63" s="1447" t="str">
        <f>VLOOKUP("Suma de Outros Ingresos Monetarios (Imputación Subvención)",tabIdiomas26[],MATCH('Indiv. Invoices Comparison'!$J$2,tabIdiomas26[#Headers]),FALSE)</f>
        <v>Sum of Other Monetary Income (Grant Annual Attribution)</v>
      </c>
      <c r="D63" s="1446"/>
      <c r="E63" s="1446"/>
      <c r="F63" s="1445">
        <f t="shared" ref="F63:AD63" si="22">F14</f>
        <v>1680</v>
      </c>
      <c r="G63" s="1445">
        <f t="shared" si="22"/>
        <v>1680</v>
      </c>
      <c r="H63" s="1445">
        <f t="shared" si="22"/>
        <v>1680</v>
      </c>
      <c r="I63" s="1445">
        <f t="shared" si="22"/>
        <v>1680</v>
      </c>
      <c r="J63" s="1445">
        <f t="shared" si="22"/>
        <v>1680</v>
      </c>
      <c r="K63" s="1445">
        <f t="shared" si="22"/>
        <v>1680</v>
      </c>
      <c r="L63" s="1445">
        <f t="shared" si="22"/>
        <v>1680</v>
      </c>
      <c r="M63" s="1445">
        <f t="shared" si="22"/>
        <v>1680</v>
      </c>
      <c r="N63" s="1445">
        <f t="shared" si="22"/>
        <v>1680</v>
      </c>
      <c r="O63" s="1445">
        <f t="shared" si="22"/>
        <v>1680</v>
      </c>
      <c r="P63" s="1445">
        <f t="shared" si="22"/>
        <v>1680</v>
      </c>
      <c r="Q63" s="1445">
        <f t="shared" si="22"/>
        <v>1680</v>
      </c>
      <c r="R63" s="1445">
        <f t="shared" si="22"/>
        <v>1680</v>
      </c>
      <c r="S63" s="1445">
        <f t="shared" si="22"/>
        <v>1680</v>
      </c>
      <c r="T63" s="1445">
        <f t="shared" si="22"/>
        <v>1680</v>
      </c>
      <c r="U63" s="1445">
        <f t="shared" si="22"/>
        <v>1680</v>
      </c>
      <c r="V63" s="1445">
        <f t="shared" si="22"/>
        <v>1680</v>
      </c>
      <c r="W63" s="1445">
        <f t="shared" si="22"/>
        <v>1680</v>
      </c>
      <c r="X63" s="1445">
        <f t="shared" si="22"/>
        <v>1680</v>
      </c>
      <c r="Y63" s="1445">
        <f t="shared" si="22"/>
        <v>1680</v>
      </c>
      <c r="Z63" s="1445">
        <f t="shared" si="22"/>
        <v>1680</v>
      </c>
      <c r="AA63" s="1445">
        <f t="shared" si="22"/>
        <v>1680</v>
      </c>
      <c r="AB63" s="1445">
        <f t="shared" si="22"/>
        <v>1680</v>
      </c>
      <c r="AC63" s="1445">
        <f t="shared" si="22"/>
        <v>1680</v>
      </c>
      <c r="AD63" s="1445">
        <f t="shared" si="22"/>
        <v>1680</v>
      </c>
      <c r="AE63" s="1444">
        <f>SUM(F63:AD63)</f>
        <v>42000</v>
      </c>
    </row>
    <row r="64" spans="2:31" x14ac:dyDescent="0.35">
      <c r="C64" s="1443" t="str">
        <f>VLOOKUP("Total Ingresos Monetarios Computables",tabIdiomas26[],MATCH('Indiv. Invoices Comparison'!$J$2,tabIdiomas26[#Headers]),FALSE)</f>
        <v>Total Computable Monetary Income</v>
      </c>
      <c r="D64" s="1442"/>
      <c r="E64" s="1442"/>
      <c r="F64" s="1441">
        <f t="shared" ref="F64:AD64" si="23">SUM(F62:F63)</f>
        <v>4150.4699999999993</v>
      </c>
      <c r="G64" s="1441">
        <f t="shared" si="23"/>
        <v>4140</v>
      </c>
      <c r="H64" s="1441">
        <f t="shared" si="23"/>
        <v>4254.5599999999995</v>
      </c>
      <c r="I64" s="1441">
        <f t="shared" si="23"/>
        <v>4372.7859200000003</v>
      </c>
      <c r="J64" s="1441">
        <f t="shared" si="23"/>
        <v>4494.7950694400006</v>
      </c>
      <c r="K64" s="1441">
        <f t="shared" si="23"/>
        <v>4620.7085116620801</v>
      </c>
      <c r="L64" s="1441">
        <f t="shared" si="23"/>
        <v>4750.6511840352669</v>
      </c>
      <c r="M64" s="1441">
        <f t="shared" si="23"/>
        <v>4884.7520219243952</v>
      </c>
      <c r="N64" s="1441">
        <f t="shared" si="23"/>
        <v>5023.1440866259763</v>
      </c>
      <c r="O64" s="1441">
        <f t="shared" si="23"/>
        <v>5165.964697398007</v>
      </c>
      <c r="P64" s="1441">
        <f t="shared" si="23"/>
        <v>5313.3555677147442</v>
      </c>
      <c r="Q64" s="1441">
        <f t="shared" si="23"/>
        <v>5465.4629458816171</v>
      </c>
      <c r="R64" s="1441">
        <f t="shared" si="23"/>
        <v>5622.4377601498272</v>
      </c>
      <c r="S64" s="1441">
        <f t="shared" si="23"/>
        <v>5784.4357684746237</v>
      </c>
      <c r="T64" s="1441">
        <f t="shared" si="23"/>
        <v>5951.6177130658116</v>
      </c>
      <c r="U64" s="1441">
        <f t="shared" si="23"/>
        <v>6124.1494798839176</v>
      </c>
      <c r="V64" s="1441">
        <f t="shared" si="23"/>
        <v>6302.2022632402031</v>
      </c>
      <c r="W64" s="1441">
        <f t="shared" si="23"/>
        <v>6485.9527356638891</v>
      </c>
      <c r="X64" s="1441">
        <f t="shared" si="23"/>
        <v>6675.5832232051353</v>
      </c>
      <c r="Y64" s="1441">
        <f t="shared" si="23"/>
        <v>6871.2818863476987</v>
      </c>
      <c r="Z64" s="1441">
        <f t="shared" si="23"/>
        <v>7073.242906710826</v>
      </c>
      <c r="AA64" s="1441">
        <f t="shared" si="23"/>
        <v>7281.6666797255721</v>
      </c>
      <c r="AB64" s="1441">
        <f t="shared" si="23"/>
        <v>7496.7600134767908</v>
      </c>
      <c r="AC64" s="1441">
        <f t="shared" si="23"/>
        <v>7718.7363339080466</v>
      </c>
      <c r="AD64" s="1441">
        <f t="shared" si="23"/>
        <v>7947.8158965931061</v>
      </c>
      <c r="AE64" s="1440">
        <f>SUM(F64:AD64)</f>
        <v>143972.53266512751</v>
      </c>
    </row>
    <row r="65" spans="3:31" ht="15" thickBot="1" x14ac:dyDescent="0.4">
      <c r="C65" s="1439" t="str">
        <f>VLOOKUP("Suma de Custos",tabIdiomas26[],MATCH('Indiv. Invoices Comparison'!$J$2,tabIdiomas26[#Headers]),FALSE)</f>
        <v>Sum of Costs</v>
      </c>
      <c r="D65" s="1438"/>
      <c r="E65" s="1438"/>
      <c r="F65" s="1437">
        <f>IF('Hipóteses xerais (2)'!$C$94="Si",(F40+F44+F49+('Hipóteses xerais (2)'!$C$89/'Hipóteses xerais (2)'!$C$11)),(F40+F44+F49))</f>
        <v>3590.47</v>
      </c>
      <c r="G65" s="1437">
        <f>IF('Hipóteses xerais (2)'!$C$94="Si",(G40+G44+G49+('Hipóteses xerais (2)'!$C$89/'Hipóteses xerais (2)'!$C$11)),(G40+G44+G49))</f>
        <v>3580</v>
      </c>
      <c r="H65" s="1437">
        <f>IF('Hipóteses xerais (2)'!$C$94="Si",(H40+H44+H49+('Hipóteses xerais (2)'!$C$89/'Hipóteses xerais (2)'!$C$11)),(H40+H44+H49))</f>
        <v>3694.5599999999995</v>
      </c>
      <c r="I65" s="1437">
        <f>IF('Hipóteses xerais (2)'!$C$94="Si",(I40+I44+I49+('Hipóteses xerais (2)'!$C$89/'Hipóteses xerais (2)'!$C$11)),(I40+I44+I49))</f>
        <v>3812.7859200000003</v>
      </c>
      <c r="J65" s="1437">
        <f>IF('Hipóteses xerais (2)'!$C$94="Si",(J40+J44+J49+('Hipóteses xerais (2)'!$C$89/'Hipóteses xerais (2)'!$C$11)),(J40+J44+J49))</f>
        <v>3934.7950694400006</v>
      </c>
      <c r="K65" s="1437">
        <f>IF('Hipóteses xerais (2)'!$C$94="Si",(K40+K44+K49+('Hipóteses xerais (2)'!$C$89/'Hipóteses xerais (2)'!$C$11)),(K40+K44+K49))</f>
        <v>4060.7085116620801</v>
      </c>
      <c r="L65" s="1437">
        <f>IF('Hipóteses xerais (2)'!$C$94="Si",(L40+L44+L49+('Hipóteses xerais (2)'!$C$89/'Hipóteses xerais (2)'!$C$11)),(L40+L44+L49))</f>
        <v>4190.6511840352669</v>
      </c>
      <c r="M65" s="1437">
        <f>IF('Hipóteses xerais (2)'!$C$94="Si",(M40+M44+M49+('Hipóteses xerais (2)'!$C$89/'Hipóteses xerais (2)'!$C$11)),(M40+M44+M49))</f>
        <v>4324.7520219243952</v>
      </c>
      <c r="N65" s="1437">
        <f>IF('Hipóteses xerais (2)'!$C$94="Si",(N40+N44+N49+('Hipóteses xerais (2)'!$C$89/'Hipóteses xerais (2)'!$C$11)),(N40+N44+N49))</f>
        <v>4463.1440866259773</v>
      </c>
      <c r="O65" s="1437">
        <f>IF('Hipóteses xerais (2)'!$C$94="Si",(O40+O44+O49+('Hipóteses xerais (2)'!$C$89/'Hipóteses xerais (2)'!$C$11)),(O40+O44+O49))</f>
        <v>4605.964697398008</v>
      </c>
      <c r="P65" s="1437">
        <f>IF('Hipóteses xerais (2)'!$C$94="Si",(P40+P44+P49+('Hipóteses xerais (2)'!$C$89/'Hipóteses xerais (2)'!$C$11)),(P40+P44+P49))</f>
        <v>4753.3555677147442</v>
      </c>
      <c r="Q65" s="1437">
        <f>IF('Hipóteses xerais (2)'!$C$94="Si",(Q40+Q44+Q49+('Hipóteses xerais (2)'!$C$89/'Hipóteses xerais (2)'!$C$11)),(Q40+Q44+Q49))</f>
        <v>4905.4629458816171</v>
      </c>
      <c r="R65" s="1437">
        <f>IF('Hipóteses xerais (2)'!$C$94="Si",(R40+R44+R49+('Hipóteses xerais (2)'!$C$89/'Hipóteses xerais (2)'!$C$11)),(R40+R44+R49))</f>
        <v>5062.4377601498281</v>
      </c>
      <c r="S65" s="1437">
        <f>IF('Hipóteses xerais (2)'!$C$94="Si",(S40+S44+S49+('Hipóteses xerais (2)'!$C$89/'Hipóteses xerais (2)'!$C$11)),(S40+S44+S49))</f>
        <v>5224.4357684746237</v>
      </c>
      <c r="T65" s="1437">
        <f>IF('Hipóteses xerais (2)'!$C$94="Si",(T40+T44+T49+('Hipóteses xerais (2)'!$C$89/'Hipóteses xerais (2)'!$C$11)),(T40+T44+T49))</f>
        <v>5391.6177130658116</v>
      </c>
      <c r="U65" s="1437">
        <f>IF('Hipóteses xerais (2)'!$C$94="Si",(U40+U44+U49+('Hipóteses xerais (2)'!$C$89/'Hipóteses xerais (2)'!$C$11)),(U40+U44+U49))</f>
        <v>5564.1494798839176</v>
      </c>
      <c r="V65" s="1437">
        <f>IF('Hipóteses xerais (2)'!$C$94="Si",(V40+V44+V49+('Hipóteses xerais (2)'!$C$89/'Hipóteses xerais (2)'!$C$11)),(V40+V44+V49))</f>
        <v>5742.2022632402031</v>
      </c>
      <c r="W65" s="1437">
        <f>IF('Hipóteses xerais (2)'!$C$94="Si",(W40+W44+W49+('Hipóteses xerais (2)'!$C$89/'Hipóteses xerais (2)'!$C$11)),(W40+W44+W49))</f>
        <v>5925.9527356638891</v>
      </c>
      <c r="X65" s="1437">
        <f>IF('Hipóteses xerais (2)'!$C$94="Si",(X40+X44+X49+('Hipóteses xerais (2)'!$C$89/'Hipóteses xerais (2)'!$C$11)),(X40+X44+X49))</f>
        <v>6115.5832232051353</v>
      </c>
      <c r="Y65" s="1437">
        <f>IF('Hipóteses xerais (2)'!$C$94="Si",(Y40+Y44+Y49+('Hipóteses xerais (2)'!$C$89/'Hipóteses xerais (2)'!$C$11)),(Y40+Y44+Y49))</f>
        <v>6311.2818863476987</v>
      </c>
      <c r="Z65" s="1437">
        <f>IF('Hipóteses xerais (2)'!$C$94="Si",(Z40+Z44+Z49+('Hipóteses xerais (2)'!$C$89/'Hipóteses xerais (2)'!$C$11)),(Z40+Z44+Z49))</f>
        <v>6513.242906710826</v>
      </c>
      <c r="AA65" s="1437">
        <f>IF('Hipóteses xerais (2)'!$C$94="Si",(AA40+AA44+AA49+('Hipóteses xerais (2)'!$C$89/'Hipóteses xerais (2)'!$C$11)),(AA40+AA44+AA49))</f>
        <v>6721.666679725573</v>
      </c>
      <c r="AB65" s="1437">
        <f>IF('Hipóteses xerais (2)'!$C$94="Si",(AB40+AB44+AB49+('Hipóteses xerais (2)'!$C$89/'Hipóteses xerais (2)'!$C$11)),(AB40+AB44+AB49))</f>
        <v>6936.7600134767908</v>
      </c>
      <c r="AC65" s="1437">
        <f>IF('Hipóteses xerais (2)'!$C$94="Si",(AC40+AC44+AC49+('Hipóteses xerais (2)'!$C$89/'Hipóteses xerais (2)'!$C$11)),(AC40+AC44+AC49))</f>
        <v>7158.7363339080475</v>
      </c>
      <c r="AD65" s="1437">
        <f>IF('Hipóteses xerais (2)'!$C$94="Si",(AD40+AD44+AD49+('Hipóteses xerais (2)'!$C$89/'Hipóteses xerais (2)'!$C$11)),(AD40+AD44+AD49))</f>
        <v>7387.815896593107</v>
      </c>
      <c r="AE65" s="1436">
        <f>SUM(F65:AD65)</f>
        <v>129972.53266512754</v>
      </c>
    </row>
    <row r="66" spans="3:31" ht="15" thickBot="1" x14ac:dyDescent="0.4">
      <c r="C66" s="1435" t="str">
        <f>VLOOKUP("Superávit (+) ou Déficit (-)",tabIdiomas26[],MATCH('Indiv. Invoices Comparison'!$J$2,tabIdiomas26[#Headers]),FALSE)</f>
        <v>Surplus (+) or Deficit (-)</v>
      </c>
      <c r="D66" s="1434"/>
      <c r="E66" s="1434"/>
      <c r="F66" s="1433">
        <f t="shared" ref="F66:AE66" si="24">F64-F65</f>
        <v>559.99999999999955</v>
      </c>
      <c r="G66" s="1433">
        <f t="shared" si="24"/>
        <v>560</v>
      </c>
      <c r="H66" s="1433">
        <f t="shared" si="24"/>
        <v>560</v>
      </c>
      <c r="I66" s="1433">
        <f t="shared" si="24"/>
        <v>560</v>
      </c>
      <c r="J66" s="1433">
        <f t="shared" si="24"/>
        <v>560</v>
      </c>
      <c r="K66" s="1433">
        <f t="shared" si="24"/>
        <v>560</v>
      </c>
      <c r="L66" s="1433">
        <f t="shared" si="24"/>
        <v>560</v>
      </c>
      <c r="M66" s="1433">
        <f t="shared" si="24"/>
        <v>560</v>
      </c>
      <c r="N66" s="1433">
        <f t="shared" si="24"/>
        <v>559.99999999999909</v>
      </c>
      <c r="O66" s="1433">
        <f t="shared" si="24"/>
        <v>559.99999999999909</v>
      </c>
      <c r="P66" s="1433">
        <f t="shared" si="24"/>
        <v>560</v>
      </c>
      <c r="Q66" s="1433">
        <f t="shared" si="24"/>
        <v>560</v>
      </c>
      <c r="R66" s="1433">
        <f t="shared" si="24"/>
        <v>559.99999999999909</v>
      </c>
      <c r="S66" s="1433">
        <f t="shared" si="24"/>
        <v>560</v>
      </c>
      <c r="T66" s="1433">
        <f t="shared" si="24"/>
        <v>560</v>
      </c>
      <c r="U66" s="1433">
        <f t="shared" si="24"/>
        <v>560</v>
      </c>
      <c r="V66" s="1433">
        <f t="shared" si="24"/>
        <v>560</v>
      </c>
      <c r="W66" s="1433">
        <f t="shared" si="24"/>
        <v>560</v>
      </c>
      <c r="X66" s="1433">
        <f t="shared" si="24"/>
        <v>560</v>
      </c>
      <c r="Y66" s="1433">
        <f t="shared" si="24"/>
        <v>560</v>
      </c>
      <c r="Z66" s="1433">
        <f t="shared" si="24"/>
        <v>560</v>
      </c>
      <c r="AA66" s="1433">
        <f t="shared" si="24"/>
        <v>559.99999999999909</v>
      </c>
      <c r="AB66" s="1433">
        <f t="shared" si="24"/>
        <v>560</v>
      </c>
      <c r="AC66" s="1433">
        <f t="shared" si="24"/>
        <v>559.99999999999909</v>
      </c>
      <c r="AD66" s="1433">
        <f t="shared" si="24"/>
        <v>559.99999999999909</v>
      </c>
      <c r="AE66" s="1432">
        <f t="shared" si="24"/>
        <v>13999.999999999971</v>
      </c>
    </row>
    <row r="68" spans="3:31" x14ac:dyDescent="0.35">
      <c r="D68" s="150"/>
      <c r="E68" s="150"/>
      <c r="F68" s="150"/>
      <c r="G68" s="150"/>
    </row>
    <row r="69" spans="3:31" x14ac:dyDescent="0.35">
      <c r="C69" s="13" t="str">
        <f>VLOOKUP("Determinación da Cota Promedio Necesaria Para a Cobertura de Custos:",tabIdiomas26[],MATCH('Indiv. Invoices Comparison'!$J$2,tabIdiomas26[#Headers]),FALSE)</f>
        <v>Determination of the Average Fee Necessary for Cost Coverage:</v>
      </c>
      <c r="D69" s="664"/>
      <c r="E69" s="664"/>
    </row>
    <row r="70" spans="3:31" x14ac:dyDescent="0.35">
      <c r="D70" s="150"/>
      <c r="E70" s="150"/>
    </row>
    <row r="71" spans="3:31" ht="15" hidden="1" thickTop="1" x14ac:dyDescent="0.35">
      <c r="C71" s="649" t="s">
        <v>876</v>
      </c>
      <c r="D71" s="648"/>
      <c r="E71" s="648"/>
      <c r="F71" s="657">
        <f t="shared" ref="F71:AD71" si="25">F65</f>
        <v>3590.47</v>
      </c>
      <c r="G71" s="657">
        <f t="shared" si="25"/>
        <v>3580</v>
      </c>
      <c r="H71" s="657">
        <f t="shared" si="25"/>
        <v>3694.5599999999995</v>
      </c>
      <c r="I71" s="657">
        <f t="shared" si="25"/>
        <v>3812.7859200000003</v>
      </c>
      <c r="J71" s="657">
        <f t="shared" si="25"/>
        <v>3934.7950694400006</v>
      </c>
      <c r="K71" s="657">
        <f t="shared" si="25"/>
        <v>4060.7085116620801</v>
      </c>
      <c r="L71" s="657">
        <f t="shared" si="25"/>
        <v>4190.6511840352669</v>
      </c>
      <c r="M71" s="657">
        <f t="shared" si="25"/>
        <v>4324.7520219243952</v>
      </c>
      <c r="N71" s="657">
        <f t="shared" si="25"/>
        <v>4463.1440866259773</v>
      </c>
      <c r="O71" s="657">
        <f t="shared" si="25"/>
        <v>4605.964697398008</v>
      </c>
      <c r="P71" s="657">
        <f t="shared" si="25"/>
        <v>4753.3555677147442</v>
      </c>
      <c r="Q71" s="657">
        <f t="shared" si="25"/>
        <v>4905.4629458816171</v>
      </c>
      <c r="R71" s="657">
        <f t="shared" si="25"/>
        <v>5062.4377601498281</v>
      </c>
      <c r="S71" s="657">
        <f t="shared" si="25"/>
        <v>5224.4357684746237</v>
      </c>
      <c r="T71" s="657">
        <f t="shared" si="25"/>
        <v>5391.6177130658116</v>
      </c>
      <c r="U71" s="657">
        <f t="shared" si="25"/>
        <v>5564.1494798839176</v>
      </c>
      <c r="V71" s="657">
        <f t="shared" si="25"/>
        <v>5742.2022632402031</v>
      </c>
      <c r="W71" s="657">
        <f t="shared" si="25"/>
        <v>5925.9527356638891</v>
      </c>
      <c r="X71" s="657">
        <f t="shared" si="25"/>
        <v>6115.5832232051353</v>
      </c>
      <c r="Y71" s="657">
        <f t="shared" si="25"/>
        <v>6311.2818863476987</v>
      </c>
      <c r="Z71" s="657">
        <f t="shared" si="25"/>
        <v>6513.242906710826</v>
      </c>
      <c r="AA71" s="657">
        <f t="shared" si="25"/>
        <v>6721.666679725573</v>
      </c>
      <c r="AB71" s="657">
        <f t="shared" si="25"/>
        <v>6936.7600134767908</v>
      </c>
      <c r="AC71" s="657">
        <f t="shared" si="25"/>
        <v>7158.7363339080475</v>
      </c>
      <c r="AD71" s="657">
        <f t="shared" si="25"/>
        <v>7387.815896593107</v>
      </c>
      <c r="AE71" s="663">
        <f>SUM(F71:AD71)</f>
        <v>129972.53266512754</v>
      </c>
    </row>
    <row r="72" spans="3:31" hidden="1" x14ac:dyDescent="0.35">
      <c r="C72" s="662" t="s">
        <v>875</v>
      </c>
      <c r="D72" s="661"/>
      <c r="E72" s="661"/>
      <c r="F72" s="660">
        <f>('Hipóteses xerais (2)'!$C$62-('Hipóteses xerais (2)'!$C$91-'Hipóteses xerais (2)'!$F$35))/'Hipóteses xerais (2)'!$C$11</f>
        <v>1120</v>
      </c>
      <c r="G72" s="660">
        <f>('Hipóteses xerais (2)'!$C$62-('Hipóteses xerais (2)'!$C$91-'Hipóteses xerais (2)'!$F$35))/'Hipóteses xerais (2)'!$C$11</f>
        <v>1120</v>
      </c>
      <c r="H72" s="660">
        <f>('Hipóteses xerais (2)'!$C$62-('Hipóteses xerais (2)'!$C$91-'Hipóteses xerais (2)'!$F$35))/'Hipóteses xerais (2)'!$C$11</f>
        <v>1120</v>
      </c>
      <c r="I72" s="660">
        <f>('Hipóteses xerais (2)'!$C$62-('Hipóteses xerais (2)'!$C$91-'Hipóteses xerais (2)'!$F$35))/'Hipóteses xerais (2)'!$C$11</f>
        <v>1120</v>
      </c>
      <c r="J72" s="660">
        <f>('Hipóteses xerais (2)'!$C$62-('Hipóteses xerais (2)'!$C$91-'Hipóteses xerais (2)'!$F$35))/'Hipóteses xerais (2)'!$C$11</f>
        <v>1120</v>
      </c>
      <c r="K72" s="660">
        <f>('Hipóteses xerais (2)'!$C$62-('Hipóteses xerais (2)'!$C$91-'Hipóteses xerais (2)'!$F$35))/'Hipóteses xerais (2)'!$C$11</f>
        <v>1120</v>
      </c>
      <c r="L72" s="660">
        <f>('Hipóteses xerais (2)'!$C$62-('Hipóteses xerais (2)'!$C$91-'Hipóteses xerais (2)'!$F$35))/'Hipóteses xerais (2)'!$C$11</f>
        <v>1120</v>
      </c>
      <c r="M72" s="660">
        <f>('Hipóteses xerais (2)'!$C$62-('Hipóteses xerais (2)'!$C$91-'Hipóteses xerais (2)'!$F$35))/'Hipóteses xerais (2)'!$C$11</f>
        <v>1120</v>
      </c>
      <c r="N72" s="660">
        <f>('Hipóteses xerais (2)'!$C$62-('Hipóteses xerais (2)'!$C$91-'Hipóteses xerais (2)'!$F$35))/'Hipóteses xerais (2)'!$C$11</f>
        <v>1120</v>
      </c>
      <c r="O72" s="660">
        <f>('Hipóteses xerais (2)'!$C$62-('Hipóteses xerais (2)'!$C$91-'Hipóteses xerais (2)'!$F$35))/'Hipóteses xerais (2)'!$C$11</f>
        <v>1120</v>
      </c>
      <c r="P72" s="660">
        <f>('Hipóteses xerais (2)'!$C$62-('Hipóteses xerais (2)'!$C$91-'Hipóteses xerais (2)'!$F$35))/'Hipóteses xerais (2)'!$C$11</f>
        <v>1120</v>
      </c>
      <c r="Q72" s="660">
        <f>('Hipóteses xerais (2)'!$C$62-('Hipóteses xerais (2)'!$C$91-'Hipóteses xerais (2)'!$F$35))/'Hipóteses xerais (2)'!$C$11</f>
        <v>1120</v>
      </c>
      <c r="R72" s="660">
        <f>('Hipóteses xerais (2)'!$C$62-('Hipóteses xerais (2)'!$C$91-'Hipóteses xerais (2)'!$F$35))/'Hipóteses xerais (2)'!$C$11</f>
        <v>1120</v>
      </c>
      <c r="S72" s="660">
        <f>('Hipóteses xerais (2)'!$C$62-('Hipóteses xerais (2)'!$C$91-'Hipóteses xerais (2)'!$F$35))/'Hipóteses xerais (2)'!$C$11</f>
        <v>1120</v>
      </c>
      <c r="T72" s="660">
        <f>('Hipóteses xerais (2)'!$C$62-('Hipóteses xerais (2)'!$C$91-'Hipóteses xerais (2)'!$F$35))/'Hipóteses xerais (2)'!$C$11</f>
        <v>1120</v>
      </c>
      <c r="U72" s="660">
        <f>('Hipóteses xerais (2)'!$C$62-('Hipóteses xerais (2)'!$C$91-'Hipóteses xerais (2)'!$F$35))/'Hipóteses xerais (2)'!$C$11</f>
        <v>1120</v>
      </c>
      <c r="V72" s="660">
        <f>('Hipóteses xerais (2)'!$C$62-('Hipóteses xerais (2)'!$C$91-'Hipóteses xerais (2)'!$F$35))/'Hipóteses xerais (2)'!$C$11</f>
        <v>1120</v>
      </c>
      <c r="W72" s="660">
        <f>('Hipóteses xerais (2)'!$C$62-('Hipóteses xerais (2)'!$C$91-'Hipóteses xerais (2)'!$F$35))/'Hipóteses xerais (2)'!$C$11</f>
        <v>1120</v>
      </c>
      <c r="X72" s="660">
        <f>('Hipóteses xerais (2)'!$C$62-('Hipóteses xerais (2)'!$C$91-'Hipóteses xerais (2)'!$F$35))/'Hipóteses xerais (2)'!$C$11</f>
        <v>1120</v>
      </c>
      <c r="Y72" s="660">
        <f>('Hipóteses xerais (2)'!$C$62-('Hipóteses xerais (2)'!$C$91-'Hipóteses xerais (2)'!$F$35))/'Hipóteses xerais (2)'!$C$11</f>
        <v>1120</v>
      </c>
      <c r="Z72" s="660">
        <f>('Hipóteses xerais (2)'!$C$62-('Hipóteses xerais (2)'!$C$91-'Hipóteses xerais (2)'!$F$35))/'Hipóteses xerais (2)'!$C$11</f>
        <v>1120</v>
      </c>
      <c r="AA72" s="660">
        <f>('Hipóteses xerais (2)'!$C$62-('Hipóteses xerais (2)'!$C$91-'Hipóteses xerais (2)'!$F$35))/'Hipóteses xerais (2)'!$C$11</f>
        <v>1120</v>
      </c>
      <c r="AB72" s="660">
        <f>('Hipóteses xerais (2)'!$C$62-('Hipóteses xerais (2)'!$C$91-'Hipóteses xerais (2)'!$F$35))/'Hipóteses xerais (2)'!$C$11</f>
        <v>1120</v>
      </c>
      <c r="AC72" s="660">
        <f>('Hipóteses xerais (2)'!$C$62-('Hipóteses xerais (2)'!$C$91-'Hipóteses xerais (2)'!$F$35))/'Hipóteses xerais (2)'!$C$11</f>
        <v>1120</v>
      </c>
      <c r="AD72" s="660">
        <f>('Hipóteses xerais (2)'!$C$62-('Hipóteses xerais (2)'!$C$91-'Hipóteses xerais (2)'!$F$35))/'Hipóteses xerais (2)'!$C$11</f>
        <v>1120</v>
      </c>
      <c r="AE72" s="659">
        <f>SUM(F72:AD72)</f>
        <v>28000</v>
      </c>
    </row>
    <row r="73" spans="3:31" hidden="1" x14ac:dyDescent="0.35">
      <c r="C73" s="649" t="s">
        <v>874</v>
      </c>
      <c r="D73" s="648"/>
      <c r="E73" s="648"/>
      <c r="F73" s="658">
        <f t="shared" ref="F73:AE73" si="26">F71-F72</f>
        <v>2470.4699999999998</v>
      </c>
      <c r="G73" s="658">
        <f t="shared" si="26"/>
        <v>2460</v>
      </c>
      <c r="H73" s="658">
        <f t="shared" si="26"/>
        <v>2574.5599999999995</v>
      </c>
      <c r="I73" s="658">
        <f t="shared" si="26"/>
        <v>2692.7859200000003</v>
      </c>
      <c r="J73" s="658">
        <f t="shared" si="26"/>
        <v>2814.7950694400006</v>
      </c>
      <c r="K73" s="658">
        <f t="shared" si="26"/>
        <v>2940.7085116620801</v>
      </c>
      <c r="L73" s="658">
        <f t="shared" si="26"/>
        <v>3070.6511840352669</v>
      </c>
      <c r="M73" s="658">
        <f t="shared" si="26"/>
        <v>3204.7520219243952</v>
      </c>
      <c r="N73" s="658">
        <f t="shared" si="26"/>
        <v>3343.1440866259773</v>
      </c>
      <c r="O73" s="658">
        <f t="shared" si="26"/>
        <v>3485.964697398008</v>
      </c>
      <c r="P73" s="658">
        <f t="shared" si="26"/>
        <v>3633.3555677147442</v>
      </c>
      <c r="Q73" s="658">
        <f t="shared" si="26"/>
        <v>3785.4629458816171</v>
      </c>
      <c r="R73" s="658">
        <f t="shared" si="26"/>
        <v>3942.4377601498281</v>
      </c>
      <c r="S73" s="658">
        <f t="shared" si="26"/>
        <v>4104.4357684746237</v>
      </c>
      <c r="T73" s="658">
        <f t="shared" si="26"/>
        <v>4271.6177130658116</v>
      </c>
      <c r="U73" s="658">
        <f t="shared" si="26"/>
        <v>4444.1494798839176</v>
      </c>
      <c r="V73" s="658">
        <f t="shared" si="26"/>
        <v>4622.2022632402031</v>
      </c>
      <c r="W73" s="658">
        <f t="shared" si="26"/>
        <v>4805.9527356638891</v>
      </c>
      <c r="X73" s="658">
        <f t="shared" si="26"/>
        <v>4995.5832232051353</v>
      </c>
      <c r="Y73" s="658">
        <f t="shared" si="26"/>
        <v>5191.2818863476987</v>
      </c>
      <c r="Z73" s="658">
        <f t="shared" si="26"/>
        <v>5393.242906710826</v>
      </c>
      <c r="AA73" s="658">
        <f t="shared" si="26"/>
        <v>5601.666679725573</v>
      </c>
      <c r="AB73" s="658">
        <f t="shared" si="26"/>
        <v>5816.7600134767908</v>
      </c>
      <c r="AC73" s="658">
        <f t="shared" si="26"/>
        <v>6038.7363339080475</v>
      </c>
      <c r="AD73" s="657">
        <f t="shared" si="26"/>
        <v>6267.815896593107</v>
      </c>
      <c r="AE73" s="656">
        <f t="shared" si="26"/>
        <v>101972.53266512754</v>
      </c>
    </row>
    <row r="74" spans="3:31" hidden="1" x14ac:dyDescent="0.35">
      <c r="C74" s="649" t="s">
        <v>873</v>
      </c>
      <c r="D74" s="648"/>
      <c r="E74" s="648"/>
      <c r="F74" s="648">
        <f>'Hipóteses xerais (2)'!$F$39</f>
        <v>25</v>
      </c>
      <c r="G74" s="648">
        <f>'Hipóteses xerais (2)'!$F$39</f>
        <v>25</v>
      </c>
      <c r="H74" s="648">
        <f>'Hipóteses xerais (2)'!$F$39</f>
        <v>25</v>
      </c>
      <c r="I74" s="648">
        <f>'Hipóteses xerais (2)'!$F$39</f>
        <v>25</v>
      </c>
      <c r="J74" s="648">
        <f>'Hipóteses xerais (2)'!$F$39</f>
        <v>25</v>
      </c>
      <c r="K74" s="648">
        <f>'Hipóteses xerais (2)'!$F$39</f>
        <v>25</v>
      </c>
      <c r="L74" s="648">
        <f>'Hipóteses xerais (2)'!$F$39</f>
        <v>25</v>
      </c>
      <c r="M74" s="648">
        <f>'Hipóteses xerais (2)'!$F$39</f>
        <v>25</v>
      </c>
      <c r="N74" s="648">
        <f>'Hipóteses xerais (2)'!$F$39</f>
        <v>25</v>
      </c>
      <c r="O74" s="648">
        <f>'Hipóteses xerais (2)'!$F$39</f>
        <v>25</v>
      </c>
      <c r="P74" s="648">
        <f>'Hipóteses xerais (2)'!$F$39</f>
        <v>25</v>
      </c>
      <c r="Q74" s="648">
        <f>'Hipóteses xerais (2)'!$F$39</f>
        <v>25</v>
      </c>
      <c r="R74" s="648">
        <f>'Hipóteses xerais (2)'!$F$39</f>
        <v>25</v>
      </c>
      <c r="S74" s="648">
        <f>'Hipóteses xerais (2)'!$F$39</f>
        <v>25</v>
      </c>
      <c r="T74" s="648">
        <f>'Hipóteses xerais (2)'!$F$39</f>
        <v>25</v>
      </c>
      <c r="U74" s="648">
        <f>'Hipóteses xerais (2)'!$F$39</f>
        <v>25</v>
      </c>
      <c r="V74" s="648">
        <f>'Hipóteses xerais (2)'!$F$39</f>
        <v>25</v>
      </c>
      <c r="W74" s="648">
        <f>'Hipóteses xerais (2)'!$F$39</f>
        <v>25</v>
      </c>
      <c r="X74" s="648">
        <f>'Hipóteses xerais (2)'!$F$39</f>
        <v>25</v>
      </c>
      <c r="Y74" s="648">
        <f>'Hipóteses xerais (2)'!$F$39</f>
        <v>25</v>
      </c>
      <c r="Z74" s="648">
        <f>'Hipóteses xerais (2)'!$F$39</f>
        <v>25</v>
      </c>
      <c r="AA74" s="648">
        <f>'Hipóteses xerais (2)'!$F$39</f>
        <v>25</v>
      </c>
      <c r="AB74" s="648">
        <f>'Hipóteses xerais (2)'!$F$39</f>
        <v>25</v>
      </c>
      <c r="AC74" s="648">
        <f>'Hipóteses xerais (2)'!$F$39</f>
        <v>25</v>
      </c>
      <c r="AD74" s="648">
        <f>'Hipóteses xerais (2)'!$F$39</f>
        <v>25</v>
      </c>
      <c r="AE74" s="655">
        <f>'Hipóteses xerais (2)'!$F$39</f>
        <v>25</v>
      </c>
    </row>
    <row r="75" spans="3:31" hidden="1" x14ac:dyDescent="0.35">
      <c r="C75" s="654" t="s">
        <v>872</v>
      </c>
      <c r="F75" s="150">
        <f t="shared" ref="F75:AE75" si="27">F73/F74</f>
        <v>98.818799999999996</v>
      </c>
      <c r="G75" s="150">
        <f t="shared" si="27"/>
        <v>98.4</v>
      </c>
      <c r="H75" s="150">
        <f t="shared" si="27"/>
        <v>102.98239999999998</v>
      </c>
      <c r="I75" s="150">
        <f t="shared" si="27"/>
        <v>107.71143680000002</v>
      </c>
      <c r="J75" s="150">
        <f t="shared" si="27"/>
        <v>112.59180277760002</v>
      </c>
      <c r="K75" s="150">
        <f t="shared" si="27"/>
        <v>117.62834046648321</v>
      </c>
      <c r="L75" s="150">
        <f t="shared" si="27"/>
        <v>122.82604736141067</v>
      </c>
      <c r="M75" s="150">
        <f t="shared" si="27"/>
        <v>128.1900808769758</v>
      </c>
      <c r="N75" s="150">
        <f t="shared" si="27"/>
        <v>133.72576346503908</v>
      </c>
      <c r="O75" s="150">
        <f t="shared" si="27"/>
        <v>139.43858789592031</v>
      </c>
      <c r="P75" s="150">
        <f t="shared" si="27"/>
        <v>145.33422270858978</v>
      </c>
      <c r="Q75" s="150">
        <f t="shared" si="27"/>
        <v>151.41851783526468</v>
      </c>
      <c r="R75" s="150">
        <f t="shared" si="27"/>
        <v>157.69751040599311</v>
      </c>
      <c r="S75" s="150">
        <f t="shared" si="27"/>
        <v>164.17743073898495</v>
      </c>
      <c r="T75" s="150">
        <f t="shared" si="27"/>
        <v>170.86470852263247</v>
      </c>
      <c r="U75" s="150">
        <f t="shared" si="27"/>
        <v>177.76597919535669</v>
      </c>
      <c r="V75" s="150">
        <f t="shared" si="27"/>
        <v>184.88809052960812</v>
      </c>
      <c r="W75" s="150">
        <f t="shared" si="27"/>
        <v>192.23810942655555</v>
      </c>
      <c r="X75" s="150">
        <f t="shared" si="27"/>
        <v>199.8233289282054</v>
      </c>
      <c r="Y75" s="150">
        <f t="shared" si="27"/>
        <v>207.65127545390794</v>
      </c>
      <c r="Z75" s="150">
        <f t="shared" si="27"/>
        <v>215.72971626843304</v>
      </c>
      <c r="AA75" s="150">
        <f t="shared" si="27"/>
        <v>224.06666718902292</v>
      </c>
      <c r="AB75" s="150">
        <f t="shared" si="27"/>
        <v>232.67040053907164</v>
      </c>
      <c r="AC75" s="150">
        <f t="shared" si="27"/>
        <v>241.54945335632189</v>
      </c>
      <c r="AD75" s="150">
        <f t="shared" si="27"/>
        <v>250.71263586372427</v>
      </c>
      <c r="AE75" s="653">
        <f t="shared" si="27"/>
        <v>4078.9013066051016</v>
      </c>
    </row>
    <row r="76" spans="3:31" ht="15" hidden="1" thickBot="1" x14ac:dyDescent="0.4">
      <c r="C76" s="645" t="s">
        <v>871</v>
      </c>
      <c r="D76" s="644"/>
      <c r="E76" s="644"/>
      <c r="F76" s="652">
        <f t="shared" ref="F76:AE76" si="28">F75/12</f>
        <v>8.2348999999999997</v>
      </c>
      <c r="G76" s="652">
        <f t="shared" si="28"/>
        <v>8.2000000000000011</v>
      </c>
      <c r="H76" s="652">
        <f t="shared" si="28"/>
        <v>8.5818666666666648</v>
      </c>
      <c r="I76" s="652">
        <f t="shared" si="28"/>
        <v>8.9759530666666674</v>
      </c>
      <c r="J76" s="652">
        <f t="shared" si="28"/>
        <v>9.382650231466668</v>
      </c>
      <c r="K76" s="652">
        <f t="shared" si="28"/>
        <v>9.8023617055402674</v>
      </c>
      <c r="L76" s="652">
        <f t="shared" si="28"/>
        <v>10.235503946784222</v>
      </c>
      <c r="M76" s="652">
        <f t="shared" si="28"/>
        <v>10.682506739747984</v>
      </c>
      <c r="N76" s="652">
        <f t="shared" si="28"/>
        <v>11.14381362208659</v>
      </c>
      <c r="O76" s="652">
        <f t="shared" si="28"/>
        <v>11.619882324660026</v>
      </c>
      <c r="P76" s="652">
        <f t="shared" si="28"/>
        <v>12.111185225715815</v>
      </c>
      <c r="Q76" s="652">
        <f t="shared" si="28"/>
        <v>12.61820981960539</v>
      </c>
      <c r="R76" s="652">
        <f t="shared" si="28"/>
        <v>13.141459200499426</v>
      </c>
      <c r="S76" s="652">
        <f t="shared" si="28"/>
        <v>13.681452561582079</v>
      </c>
      <c r="T76" s="652">
        <f t="shared" si="28"/>
        <v>14.238725710219372</v>
      </c>
      <c r="U76" s="652">
        <f t="shared" si="28"/>
        <v>14.813831599613058</v>
      </c>
      <c r="V76" s="652">
        <f t="shared" si="28"/>
        <v>15.407340877467343</v>
      </c>
      <c r="W76" s="652">
        <f t="shared" si="28"/>
        <v>16.019842452212963</v>
      </c>
      <c r="X76" s="652">
        <f t="shared" si="28"/>
        <v>16.65194407735045</v>
      </c>
      <c r="Y76" s="652">
        <f t="shared" si="28"/>
        <v>17.30427295449233</v>
      </c>
      <c r="Z76" s="652">
        <f t="shared" si="28"/>
        <v>17.977476355702752</v>
      </c>
      <c r="AA76" s="652">
        <f t="shared" si="28"/>
        <v>18.672222265751909</v>
      </c>
      <c r="AB76" s="652">
        <f t="shared" si="28"/>
        <v>19.389200044922635</v>
      </c>
      <c r="AC76" s="652">
        <f t="shared" si="28"/>
        <v>20.129121113026823</v>
      </c>
      <c r="AD76" s="651">
        <f t="shared" si="28"/>
        <v>20.892719655310355</v>
      </c>
      <c r="AE76" s="650">
        <f t="shared" si="28"/>
        <v>339.90844221709182</v>
      </c>
    </row>
    <row r="77" spans="3:31" hidden="1" x14ac:dyDescent="0.35">
      <c r="AE77" s="150">
        <f>AE76/'Hipóteses xerais (2)'!$C$11</f>
        <v>13.596337688683672</v>
      </c>
    </row>
    <row r="78" spans="3:31" hidden="1" x14ac:dyDescent="0.35"/>
    <row r="79" spans="3:31" ht="15" hidden="1" thickTop="1" x14ac:dyDescent="0.35">
      <c r="C79" s="649" t="s">
        <v>870</v>
      </c>
      <c r="D79" s="648"/>
      <c r="E79" s="648"/>
      <c r="F79" s="647">
        <f>MIN('Hipóteses xerais (2)'!$C$35*1000,'Hipóteses xerais (2)'!$C$70*'Hipóteses xerais (2)'!$I$52*'Hipóteses xerais (2)'!$I$53)</f>
        <v>88323</v>
      </c>
      <c r="G79" s="647">
        <f>MIN('Hipóteses xerais (2)'!$C$35*1000,'Hipóteses xerais (2)'!$C$70*'Hipóteses xerais (2)'!$I$52*'Hipóteses xerais (2)'!$I$53)</f>
        <v>88323</v>
      </c>
      <c r="H79" s="647">
        <f>MIN('Hipóteses xerais (2)'!$C$35*1000,'Hipóteses xerais (2)'!$C$70*'Hipóteses xerais (2)'!$I$52*'Hipóteses xerais (2)'!$I$53)</f>
        <v>88323</v>
      </c>
      <c r="I79" s="647">
        <f>MIN('Hipóteses xerais (2)'!$C$35*1000,'Hipóteses xerais (2)'!$C$70*'Hipóteses xerais (2)'!$I$52*'Hipóteses xerais (2)'!$I$53)</f>
        <v>88323</v>
      </c>
      <c r="J79" s="647">
        <f>MIN('Hipóteses xerais (2)'!$C$35*1000,'Hipóteses xerais (2)'!$C$70*'Hipóteses xerais (2)'!$I$52*'Hipóteses xerais (2)'!$I$53)</f>
        <v>88323</v>
      </c>
      <c r="K79" s="647">
        <f>MIN('Hipóteses xerais (2)'!$C$35*1000,'Hipóteses xerais (2)'!$C$70*'Hipóteses xerais (2)'!$I$52*'Hipóteses xerais (2)'!$I$53)</f>
        <v>88323</v>
      </c>
      <c r="L79" s="647">
        <f>MIN('Hipóteses xerais (2)'!$C$35*1000,'Hipóteses xerais (2)'!$C$70*'Hipóteses xerais (2)'!$I$52*'Hipóteses xerais (2)'!$I$53)</f>
        <v>88323</v>
      </c>
      <c r="M79" s="647">
        <f>MIN('Hipóteses xerais (2)'!$C$35*1000,'Hipóteses xerais (2)'!$C$70*'Hipóteses xerais (2)'!$I$52*'Hipóteses xerais (2)'!$I$53)</f>
        <v>88323</v>
      </c>
      <c r="N79" s="647">
        <f>MIN('Hipóteses xerais (2)'!$C$35*1000,'Hipóteses xerais (2)'!$C$70*'Hipóteses xerais (2)'!$I$52*'Hipóteses xerais (2)'!$I$53)</f>
        <v>88323</v>
      </c>
      <c r="O79" s="647">
        <f>MIN('Hipóteses xerais (2)'!$C$35*1000,'Hipóteses xerais (2)'!$C$70*'Hipóteses xerais (2)'!$I$52*'Hipóteses xerais (2)'!$I$53)</f>
        <v>88323</v>
      </c>
      <c r="P79" s="647">
        <f>MIN('Hipóteses xerais (2)'!$C$35*1000,'Hipóteses xerais (2)'!$C$70*'Hipóteses xerais (2)'!$I$52*'Hipóteses xerais (2)'!$I$53)</f>
        <v>88323</v>
      </c>
      <c r="Q79" s="647">
        <f>MIN('Hipóteses xerais (2)'!$C$35*1000,'Hipóteses xerais (2)'!$C$70*'Hipóteses xerais (2)'!$I$52*'Hipóteses xerais (2)'!$I$53)</f>
        <v>88323</v>
      </c>
      <c r="R79" s="647">
        <f>MIN('Hipóteses xerais (2)'!$C$35*1000,'Hipóteses xerais (2)'!$C$70*'Hipóteses xerais (2)'!$I$52*'Hipóteses xerais (2)'!$I$53)</f>
        <v>88323</v>
      </c>
      <c r="S79" s="647">
        <f>MIN('Hipóteses xerais (2)'!$C$35*1000,'Hipóteses xerais (2)'!$C$70*'Hipóteses xerais (2)'!$I$52*'Hipóteses xerais (2)'!$I$53)</f>
        <v>88323</v>
      </c>
      <c r="T79" s="647">
        <f>MIN('Hipóteses xerais (2)'!$C$35*1000,'Hipóteses xerais (2)'!$C$70*'Hipóteses xerais (2)'!$I$52*'Hipóteses xerais (2)'!$I$53)</f>
        <v>88323</v>
      </c>
      <c r="U79" s="647">
        <f>MIN('Hipóteses xerais (2)'!$C$35*1000,'Hipóteses xerais (2)'!$C$70*'Hipóteses xerais (2)'!$I$52*'Hipóteses xerais (2)'!$I$53)</f>
        <v>88323</v>
      </c>
      <c r="V79" s="647">
        <f>MIN('Hipóteses xerais (2)'!$C$35*1000,'Hipóteses xerais (2)'!$C$70*'Hipóteses xerais (2)'!$I$52*'Hipóteses xerais (2)'!$I$53)</f>
        <v>88323</v>
      </c>
      <c r="W79" s="647">
        <f>MIN('Hipóteses xerais (2)'!$C$35*1000,'Hipóteses xerais (2)'!$C$70*'Hipóteses xerais (2)'!$I$52*'Hipóteses xerais (2)'!$I$53)</f>
        <v>88323</v>
      </c>
      <c r="X79" s="647">
        <f>MIN('Hipóteses xerais (2)'!$C$35*1000,'Hipóteses xerais (2)'!$C$70*'Hipóteses xerais (2)'!$I$52*'Hipóteses xerais (2)'!$I$53)</f>
        <v>88323</v>
      </c>
      <c r="Y79" s="647">
        <f>MIN('Hipóteses xerais (2)'!$C$35*1000,'Hipóteses xerais (2)'!$C$70*'Hipóteses xerais (2)'!$I$52*'Hipóteses xerais (2)'!$I$53)</f>
        <v>88323</v>
      </c>
      <c r="Z79" s="647">
        <f>MIN('Hipóteses xerais (2)'!$C$35*1000,'Hipóteses xerais (2)'!$C$70*'Hipóteses xerais (2)'!$I$52*'Hipóteses xerais (2)'!$I$53)</f>
        <v>88323</v>
      </c>
      <c r="AA79" s="647">
        <f>MIN('Hipóteses xerais (2)'!$C$35*1000,'Hipóteses xerais (2)'!$C$70*'Hipóteses xerais (2)'!$I$52*'Hipóteses xerais (2)'!$I$53)</f>
        <v>88323</v>
      </c>
      <c r="AB79" s="647">
        <f>MIN('Hipóteses xerais (2)'!$C$35*1000,'Hipóteses xerais (2)'!$C$70*'Hipóteses xerais (2)'!$I$52*'Hipóteses xerais (2)'!$I$53)</f>
        <v>88323</v>
      </c>
      <c r="AC79" s="647">
        <f>MIN('Hipóteses xerais (2)'!$C$35*1000,'Hipóteses xerais (2)'!$C$70*'Hipóteses xerais (2)'!$I$52*'Hipóteses xerais (2)'!$I$53)</f>
        <v>88323</v>
      </c>
      <c r="AD79" s="647">
        <f>MIN('Hipóteses xerais (2)'!$C$35*1000,'Hipóteses xerais (2)'!$C$70*'Hipóteses xerais (2)'!$I$52*'Hipóteses xerais (2)'!$I$53)</f>
        <v>88323</v>
      </c>
      <c r="AE79" s="646">
        <f>SUM(F79:AD79)</f>
        <v>2208075</v>
      </c>
    </row>
    <row r="80" spans="3:31" ht="15" hidden="1" thickBot="1" x14ac:dyDescent="0.4">
      <c r="C80" s="645" t="s">
        <v>869</v>
      </c>
      <c r="D80" s="644"/>
      <c r="E80" s="644"/>
      <c r="F80" s="643">
        <f t="shared" ref="F80:AE80" si="29">F73/F79</f>
        <v>2.7970856968173634E-2</v>
      </c>
      <c r="G80" s="643">
        <f t="shared" si="29"/>
        <v>2.7852314799089704E-2</v>
      </c>
      <c r="H80" s="643">
        <f t="shared" si="29"/>
        <v>2.9149372190709098E-2</v>
      </c>
      <c r="I80" s="643">
        <f t="shared" si="29"/>
        <v>3.0487935418860322E-2</v>
      </c>
      <c r="J80" s="643">
        <f t="shared" si="29"/>
        <v>3.1869332670312382E-2</v>
      </c>
      <c r="K80" s="643">
        <f t="shared" si="29"/>
        <v>3.3294934633810898E-2</v>
      </c>
      <c r="L80" s="643">
        <f t="shared" si="29"/>
        <v>3.4766155860141375E-2</v>
      </c>
      <c r="M80" s="643">
        <f t="shared" si="29"/>
        <v>3.6284456165714428E-2</v>
      </c>
      <c r="N80" s="643">
        <f t="shared" si="29"/>
        <v>3.7851342081065831E-2</v>
      </c>
      <c r="O80" s="643">
        <f t="shared" si="29"/>
        <v>3.9468368345708459E-2</v>
      </c>
      <c r="P80" s="643">
        <f t="shared" si="29"/>
        <v>4.1137139450819656E-2</v>
      </c>
      <c r="Q80" s="643">
        <f t="shared" si="29"/>
        <v>4.2859311231294418E-2</v>
      </c>
      <c r="R80" s="643">
        <f t="shared" si="29"/>
        <v>4.4636592508744362E-2</v>
      </c>
      <c r="S80" s="643">
        <f t="shared" si="29"/>
        <v>4.647074678707272E-2</v>
      </c>
      <c r="T80" s="643">
        <f t="shared" si="29"/>
        <v>4.8363594002307574E-2</v>
      </c>
      <c r="U80" s="643">
        <f t="shared" si="29"/>
        <v>5.0317012328429937E-2</v>
      </c>
      <c r="V80" s="643">
        <f t="shared" si="29"/>
        <v>5.2332940040988228E-2</v>
      </c>
      <c r="W80" s="643">
        <f t="shared" si="29"/>
        <v>5.4413377440348368E-2</v>
      </c>
      <c r="X80" s="643">
        <f t="shared" si="29"/>
        <v>5.6560388836488062E-2</v>
      </c>
      <c r="Y80" s="643">
        <f t="shared" si="29"/>
        <v>5.8776104597304195E-2</v>
      </c>
      <c r="Z80" s="643">
        <f t="shared" si="29"/>
        <v>6.1062723262466471E-2</v>
      </c>
      <c r="AA80" s="643">
        <f t="shared" si="29"/>
        <v>6.3422513724913934E-2</v>
      </c>
      <c r="AB80" s="643">
        <f t="shared" si="29"/>
        <v>6.58578174821597E-2</v>
      </c>
      <c r="AC80" s="643">
        <f t="shared" si="29"/>
        <v>6.8371050959637331E-2</v>
      </c>
      <c r="AD80" s="642">
        <f t="shared" si="29"/>
        <v>7.0964707908394264E-2</v>
      </c>
      <c r="AE80" s="641">
        <f t="shared" si="29"/>
        <v>4.6181643587798214E-2</v>
      </c>
    </row>
    <row r="81" spans="3:31" ht="15" thickBot="1" x14ac:dyDescent="0.4"/>
    <row r="82" spans="3:31" ht="15" thickBot="1" x14ac:dyDescent="0.4">
      <c r="C82" s="606" t="str">
        <f>VLOOKUP("Cotas de Socios no Ano Inicial",tabIdiomas26[],MATCH('Indiv. Invoices Comparison'!$J$2,tabIdiomas26[#Headers]),FALSE)</f>
        <v>Initial Year Membership Fees</v>
      </c>
      <c r="D82" s="792" t="str">
        <f>VLOOKUP("Mensual",tabIdiomas26[],MATCH('Indiv. Invoices Comparison'!$J$2,tabIdiomas26[#Headers]),FALSE)</f>
        <v>Monthly</v>
      </c>
      <c r="E82" s="791" t="str">
        <f>VLOOKUP("Anual",tabIdiomas26[],MATCH('Indiv. Invoices Comparison'!$J$2,tabIdiomas26[#Headers]),FALSE)</f>
        <v>Annual</v>
      </c>
    </row>
    <row r="83" spans="3:31" ht="29.5" thickBot="1" x14ac:dyDescent="0.4">
      <c r="C83" s="1410" t="str">
        <f>VLOOKUP("Cota Mínima a satisfacer polo Socio Tipo (Consumo = 294,41 KWh ao Mes)",tabIdiomas26[],MATCH('Indiv. Invoices Comparison'!$J$2,tabIdiomas26[#Headers]),FALSE)</f>
        <v>Minimum Membership Fee to be satisfied by the Typical Partner (Consumption = 294,41 KWh per Month)</v>
      </c>
      <c r="D83" s="602">
        <f>($F$80*'Hipóteses xerais (2)'!$I$52*'Hipóteses xerais (2)'!$C$70)/12</f>
        <v>8.2348999999999997</v>
      </c>
      <c r="E83" s="601">
        <f>($F$80*'Hipóteses xerais (2)'!$I$52*'Hipóteses xerais (2)'!$C$70)</f>
        <v>98.818799999999996</v>
      </c>
      <c r="F83" s="6"/>
      <c r="G83" s="6"/>
    </row>
    <row r="84" spans="3:31" ht="15" thickBot="1" x14ac:dyDescent="0.4"/>
    <row r="85" spans="3:31" ht="15.5" thickTop="1" thickBot="1" x14ac:dyDescent="0.4">
      <c r="C85" s="10"/>
      <c r="D85" s="1431" t="str">
        <f>VLOOKUP("Base Impoñible",tabIdiomas26[],MATCH('Indiv. Invoices Comparison'!$J$2,tabIdiomas26[#Headers]),FALSE)</f>
        <v>Tax Base</v>
      </c>
      <c r="E85" s="1430"/>
      <c r="F85" s="1429">
        <f>F9+(IF('Hipóteses xerais (2)'!$C$94="Si",('Hipóteses xerais (2)'!$C$89/'Hipóteses xerais (2)'!$C$11),0))</f>
        <v>6699</v>
      </c>
      <c r="G85" s="1429">
        <f>G9+(IF('Hipóteses xerais (2)'!$C$94="Si",('Hipóteses xerais (2)'!$C$89/'Hipóteses xerais (2)'!$C$11),0))</f>
        <v>6906.6689999999999</v>
      </c>
      <c r="H85" s="1429">
        <f>H9+(IF('Hipóteses xerais (2)'!$C$94="Si",('Hipóteses xerais (2)'!$C$89/'Hipóteses xerais (2)'!$C$11),0))</f>
        <v>7120.7757389999997</v>
      </c>
      <c r="I85" s="1429">
        <f>I9+(IF('Hipóteses xerais (2)'!$C$94="Si",('Hipóteses xerais (2)'!$C$89/'Hipóteses xerais (2)'!$C$11),0))</f>
        <v>7341.5197869089989</v>
      </c>
      <c r="J85" s="1429">
        <f>J9+(IF('Hipóteses xerais (2)'!$C$94="Si",('Hipóteses xerais (2)'!$C$89/'Hipóteses xerais (2)'!$C$11),0))</f>
        <v>7569.1069003031771</v>
      </c>
      <c r="K85" s="1429">
        <f>K9+(IF('Hipóteses xerais (2)'!$C$94="Si",('Hipóteses xerais (2)'!$C$89/'Hipóteses xerais (2)'!$C$11),0))</f>
        <v>7803.7492142125748</v>
      </c>
      <c r="L85" s="1429">
        <f>L9+(IF('Hipóteses xerais (2)'!$C$94="Si",('Hipóteses xerais (2)'!$C$89/'Hipóteses xerais (2)'!$C$11),0))</f>
        <v>8045.6654398531637</v>
      </c>
      <c r="M85" s="1429">
        <f>M9+(IF('Hipóteses xerais (2)'!$C$94="Si",('Hipóteses xerais (2)'!$C$89/'Hipóteses xerais (2)'!$C$11),0))</f>
        <v>8295.081068488611</v>
      </c>
      <c r="N85" s="1429">
        <f>N9+(IF('Hipóteses xerais (2)'!$C$94="Si",('Hipóteses xerais (2)'!$C$89/'Hipóteses xerais (2)'!$C$11),0))</f>
        <v>8552.2285816117565</v>
      </c>
      <c r="O85" s="1429">
        <f>O9+(IF('Hipóteses xerais (2)'!$C$94="Si",('Hipóteses xerais (2)'!$C$89/'Hipóteses xerais (2)'!$C$11),0))</f>
        <v>8817.3476676417195</v>
      </c>
      <c r="P85" s="1429">
        <f>P9+(IF('Hipóteses xerais (2)'!$C$94="Si",('Hipóteses xerais (2)'!$C$89/'Hipóteses xerais (2)'!$C$11),0))</f>
        <v>9090.6854453386113</v>
      </c>
      <c r="Q85" s="1429">
        <f>Q9+(IF('Hipóteses xerais (2)'!$C$94="Si",('Hipóteses xerais (2)'!$C$89/'Hipóteses xerais (2)'!$C$11),0))</f>
        <v>9372.4966941441071</v>
      </c>
      <c r="R85" s="1429">
        <f>R9+(IF('Hipóteses xerais (2)'!$C$94="Si",('Hipóteses xerais (2)'!$C$89/'Hipóteses xerais (2)'!$C$11),0))</f>
        <v>9663.0440916625739</v>
      </c>
      <c r="S85" s="1429">
        <f>S9+(IF('Hipóteses xerais (2)'!$C$94="Si",('Hipóteses xerais (2)'!$C$89/'Hipóteses xerais (2)'!$C$11),0))</f>
        <v>9962.5984585041133</v>
      </c>
      <c r="T85" s="1429">
        <f>T9+(IF('Hipóteses xerais (2)'!$C$94="Si",('Hipóteses xerais (2)'!$C$89/'Hipóteses xerais (2)'!$C$11),0))</f>
        <v>10271.439010717741</v>
      </c>
      <c r="U85" s="1429">
        <f>U9+(IF('Hipóteses xerais (2)'!$C$94="Si",('Hipóteses xerais (2)'!$C$89/'Hipóteses xerais (2)'!$C$11),0))</f>
        <v>10589.853620049989</v>
      </c>
      <c r="V85" s="1429">
        <f>V9+(IF('Hipóteses xerais (2)'!$C$94="Si",('Hipóteses xerais (2)'!$C$89/'Hipóteses xerais (2)'!$C$11),0))</f>
        <v>10918.139082271538</v>
      </c>
      <c r="W85" s="1429">
        <f>W9+(IF('Hipóteses xerais (2)'!$C$94="Si",('Hipóteses xerais (2)'!$C$89/'Hipóteses xerais (2)'!$C$11),0))</f>
        <v>11256.601393821955</v>
      </c>
      <c r="X85" s="1429">
        <f>X9+(IF('Hipóteses xerais (2)'!$C$94="Si",('Hipóteses xerais (2)'!$C$89/'Hipóteses xerais (2)'!$C$11),0))</f>
        <v>11605.556037030434</v>
      </c>
      <c r="Y85" s="1429">
        <f>Y9+(IF('Hipóteses xerais (2)'!$C$94="Si",('Hipóteses xerais (2)'!$C$89/'Hipóteses xerais (2)'!$C$11),0))</f>
        <v>11965.328274178377</v>
      </c>
      <c r="Z85" s="1429">
        <f>Z9+(IF('Hipóteses xerais (2)'!$C$94="Si",('Hipóteses xerais (2)'!$C$89/'Hipóteses xerais (2)'!$C$11),0))</f>
        <v>12336.253450677905</v>
      </c>
      <c r="AA85" s="1429">
        <f>AA9+(IF('Hipóteses xerais (2)'!$C$94="Si",('Hipóteses xerais (2)'!$C$89/'Hipóteses xerais (2)'!$C$11),0))</f>
        <v>12718.677307648919</v>
      </c>
      <c r="AB85" s="1429">
        <f>AB9+(IF('Hipóteses xerais (2)'!$C$94="Si",('Hipóteses xerais (2)'!$C$89/'Hipóteses xerais (2)'!$C$11),0))</f>
        <v>13112.956304186035</v>
      </c>
      <c r="AC85" s="1429">
        <f>AC9+(IF('Hipóteses xerais (2)'!$C$94="Si",('Hipóteses xerais (2)'!$C$89/'Hipóteses xerais (2)'!$C$11),0))</f>
        <v>13519.4579496158</v>
      </c>
      <c r="AD85" s="1428">
        <f>AD9+(IF('Hipóteses xerais (2)'!$C$94="Si",('Hipóteses xerais (2)'!$C$89/'Hipóteses xerais (2)'!$C$11),0))</f>
        <v>13938.561146053889</v>
      </c>
      <c r="AE85" s="1427">
        <f>SUM(F85:AD85)</f>
        <v>247472.79166392199</v>
      </c>
    </row>
    <row r="86" spans="3:31" ht="29.5" thickBot="1" x14ac:dyDescent="0.4">
      <c r="C86" s="1426" t="str">
        <f>VLOOKUP("Cálculo da Incidencia do Impacto Fiscal sobre o Valor das Cotas de Socio",tabIdiomas26[],MATCH('Indiv. Invoices Comparison'!$J$2,tabIdiomas26[#Headers]),FALSE)</f>
        <v>Calculation of the Incidence of the Tax Impact on the Value of Membership Fees</v>
      </c>
      <c r="D86" s="1425" t="str">
        <f>VLOOKUP("Cota Tributaria",tabIdiomas26[],MATCH('Indiv. Invoices Comparison'!$J$2,tabIdiomas26[#Headers]),FALSE)</f>
        <v>Tax Amount Payable</v>
      </c>
      <c r="E86" s="1424"/>
      <c r="F86" s="1423">
        <f>'Hipóteses xerais (2)'!$C$16*'Operating Account'!F85</f>
        <v>1674.75</v>
      </c>
      <c r="G86" s="1423">
        <f>'Hipóteses xerais (2)'!$C$16*'Operating Account'!G85</f>
        <v>1726.66725</v>
      </c>
      <c r="H86" s="1423">
        <f>'Hipóteses xerais (2)'!$C$16*'Operating Account'!H85</f>
        <v>1780.1939347499999</v>
      </c>
      <c r="I86" s="1423">
        <f>'Hipóteses xerais (2)'!$C$16*'Operating Account'!I85</f>
        <v>1835.3799467272497</v>
      </c>
      <c r="J86" s="1423">
        <f>'Hipóteses xerais (2)'!$C$16*'Operating Account'!J85</f>
        <v>1892.2767250757943</v>
      </c>
      <c r="K86" s="1423">
        <f>'Hipóteses xerais (2)'!$C$16*'Operating Account'!K85</f>
        <v>1950.9373035531437</v>
      </c>
      <c r="L86" s="1423">
        <f>'Hipóteses xerais (2)'!$C$16*'Operating Account'!L85</f>
        <v>2011.4163599632909</v>
      </c>
      <c r="M86" s="1423">
        <f>'Hipóteses xerais (2)'!$C$16*'Operating Account'!M85</f>
        <v>2073.7702671221527</v>
      </c>
      <c r="N86" s="1423">
        <f>'Hipóteses xerais (2)'!$C$16*'Operating Account'!N85</f>
        <v>2138.0571454029391</v>
      </c>
      <c r="O86" s="1423">
        <f>'Hipóteses xerais (2)'!$C$16*'Operating Account'!O85</f>
        <v>2204.3369169104299</v>
      </c>
      <c r="P86" s="1423">
        <f>'Hipóteses xerais (2)'!$C$16*'Operating Account'!P85</f>
        <v>2272.6713613346528</v>
      </c>
      <c r="Q86" s="1423">
        <f>'Hipóteses xerais (2)'!$C$16*'Operating Account'!Q85</f>
        <v>2343.1241735360268</v>
      </c>
      <c r="R86" s="1423">
        <f>'Hipóteses xerais (2)'!$C$16*'Operating Account'!R85</f>
        <v>2415.7610229156435</v>
      </c>
      <c r="S86" s="1423">
        <f>'Hipóteses xerais (2)'!$C$16*'Operating Account'!S85</f>
        <v>2490.6496146260283</v>
      </c>
      <c r="T86" s="1423">
        <f>'Hipóteses xerais (2)'!$C$16*'Operating Account'!T85</f>
        <v>2567.8597526794351</v>
      </c>
      <c r="U86" s="1423">
        <f>'Hipóteses xerais (2)'!$C$16*'Operating Account'!U85</f>
        <v>2647.4634050124973</v>
      </c>
      <c r="V86" s="1423">
        <f>'Hipóteses xerais (2)'!$C$16*'Operating Account'!V85</f>
        <v>2729.5347705678846</v>
      </c>
      <c r="W86" s="1423">
        <f>'Hipóteses xerais (2)'!$C$16*'Operating Account'!W85</f>
        <v>2814.1503484554887</v>
      </c>
      <c r="X86" s="1423">
        <f>'Hipóteses xerais (2)'!$C$16*'Operating Account'!X85</f>
        <v>2901.3890092576084</v>
      </c>
      <c r="Y86" s="1423">
        <f>'Hipóteses xerais (2)'!$C$16*'Operating Account'!Y85</f>
        <v>2991.3320685445942</v>
      </c>
      <c r="Z86" s="1423">
        <f>'Hipóteses xerais (2)'!$C$16*'Operating Account'!Z85</f>
        <v>3084.0633626694762</v>
      </c>
      <c r="AA86" s="1423">
        <f>'Hipóteses xerais (2)'!$C$16*'Operating Account'!AA85</f>
        <v>3179.6693269122297</v>
      </c>
      <c r="AB86" s="1423">
        <f>'Hipóteses xerais (2)'!$C$16*'Operating Account'!AB85</f>
        <v>3278.2390760465087</v>
      </c>
      <c r="AC86" s="1423">
        <f>'Hipóteses xerais (2)'!$C$16*'Operating Account'!AC85</f>
        <v>3379.8644874039501</v>
      </c>
      <c r="AD86" s="1422">
        <f>'Hipóteses xerais (2)'!$C$16*'Operating Account'!AD85</f>
        <v>3484.6402865134723</v>
      </c>
      <c r="AE86" s="1421">
        <f>SUM(F86:AD86)</f>
        <v>61868.197915980498</v>
      </c>
    </row>
    <row r="87" spans="3:31" ht="62.5" hidden="1" customHeight="1" thickTop="1" x14ac:dyDescent="0.35">
      <c r="C87" s="1420" t="s">
        <v>863</v>
      </c>
      <c r="D87" s="623" t="s">
        <v>862</v>
      </c>
      <c r="E87" s="10"/>
      <c r="F87" s="626">
        <f>F86/'Hipóteses xerais (2)'!$F$39</f>
        <v>66.989999999999995</v>
      </c>
      <c r="G87" s="626">
        <f>G86/'Hipóteses xerais (2)'!$F$39</f>
        <v>69.066689999999994</v>
      </c>
      <c r="H87" s="626">
        <f>H86/'Hipóteses xerais (2)'!$F$39</f>
        <v>71.207757389999998</v>
      </c>
      <c r="I87" s="626">
        <f>I86/'Hipóteses xerais (2)'!$F$39</f>
        <v>73.415197869089994</v>
      </c>
      <c r="J87" s="626">
        <f>J86/'Hipóteses xerais (2)'!$F$39</f>
        <v>75.691069003031771</v>
      </c>
      <c r="K87" s="626">
        <f>K86/'Hipóteses xerais (2)'!$F$39</f>
        <v>78.037492142125743</v>
      </c>
      <c r="L87" s="626">
        <f>L86/'Hipóteses xerais (2)'!$F$39</f>
        <v>80.45665439853164</v>
      </c>
      <c r="M87" s="626">
        <f>M86/'Hipóteses xerais (2)'!$F$39</f>
        <v>82.950810684886108</v>
      </c>
      <c r="N87" s="626">
        <f>N86/'Hipóteses xerais (2)'!$F$39</f>
        <v>85.522285816117559</v>
      </c>
      <c r="O87" s="626">
        <f>O86/'Hipóteses xerais (2)'!$F$39</f>
        <v>88.173476676417195</v>
      </c>
      <c r="P87" s="626">
        <f>P86/'Hipóteses xerais (2)'!$F$39</f>
        <v>90.906854453386117</v>
      </c>
      <c r="Q87" s="626">
        <f>Q86/'Hipóteses xerais (2)'!$F$39</f>
        <v>93.724966941441068</v>
      </c>
      <c r="R87" s="626">
        <f>R86/'Hipóteses xerais (2)'!$F$39</f>
        <v>96.630440916625744</v>
      </c>
      <c r="S87" s="626">
        <f>S86/'Hipóteses xerais (2)'!$F$39</f>
        <v>99.625984585041138</v>
      </c>
      <c r="T87" s="626">
        <f>T86/'Hipóteses xerais (2)'!$F$39</f>
        <v>102.71439010717741</v>
      </c>
      <c r="U87" s="626">
        <f>U86/'Hipóteses xerais (2)'!$F$39</f>
        <v>105.89853620049989</v>
      </c>
      <c r="V87" s="626">
        <f>V86/'Hipóteses xerais (2)'!$F$39</f>
        <v>109.18139082271539</v>
      </c>
      <c r="W87" s="626">
        <f>W86/'Hipóteses xerais (2)'!$F$39</f>
        <v>112.56601393821956</v>
      </c>
      <c r="X87" s="626">
        <f>X86/'Hipóteses xerais (2)'!$F$39</f>
        <v>116.05556037030433</v>
      </c>
      <c r="Y87" s="626">
        <f>Y86/'Hipóteses xerais (2)'!$F$39</f>
        <v>119.65328274178377</v>
      </c>
      <c r="Z87" s="626">
        <f>Z86/'Hipóteses xerais (2)'!$F$39</f>
        <v>123.36253450677904</v>
      </c>
      <c r="AA87" s="626">
        <f>AA86/'Hipóteses xerais (2)'!$F$39</f>
        <v>127.18677307648919</v>
      </c>
      <c r="AB87" s="626">
        <f>AB86/'Hipóteses xerais (2)'!$F$39</f>
        <v>131.12956304186034</v>
      </c>
      <c r="AC87" s="626">
        <f>AC86/'Hipóteses xerais (2)'!$F$39</f>
        <v>135.19457949615801</v>
      </c>
      <c r="AD87" s="626">
        <f>AD86/'Hipóteses xerais (2)'!$F$39</f>
        <v>139.38561146053888</v>
      </c>
      <c r="AE87" s="628">
        <f>SUM(F87:AD87)</f>
        <v>2474.72791663922</v>
      </c>
    </row>
    <row r="88" spans="3:31" ht="58.5" hidden="1" thickBot="1" x14ac:dyDescent="0.4">
      <c r="C88" s="1419" t="s">
        <v>861</v>
      </c>
      <c r="D88" s="623" t="s">
        <v>860</v>
      </c>
      <c r="E88" s="10"/>
      <c r="F88" s="626">
        <f t="shared" ref="F88:AD88" si="30">F87/12</f>
        <v>5.5824999999999996</v>
      </c>
      <c r="G88" s="626">
        <f t="shared" si="30"/>
        <v>5.7555574999999992</v>
      </c>
      <c r="H88" s="626">
        <f t="shared" si="30"/>
        <v>5.9339797824999998</v>
      </c>
      <c r="I88" s="626">
        <f t="shared" si="30"/>
        <v>6.1179331557574992</v>
      </c>
      <c r="J88" s="626">
        <f t="shared" si="30"/>
        <v>6.3075890835859809</v>
      </c>
      <c r="K88" s="626">
        <f t="shared" si="30"/>
        <v>6.5031243451771452</v>
      </c>
      <c r="L88" s="626">
        <f t="shared" si="30"/>
        <v>6.7047211998776364</v>
      </c>
      <c r="M88" s="626">
        <f t="shared" si="30"/>
        <v>6.9125675570738423</v>
      </c>
      <c r="N88" s="626">
        <f t="shared" si="30"/>
        <v>7.1268571513431302</v>
      </c>
      <c r="O88" s="626">
        <f t="shared" si="30"/>
        <v>7.347789723034766</v>
      </c>
      <c r="P88" s="626">
        <f t="shared" si="30"/>
        <v>7.5755712044488428</v>
      </c>
      <c r="Q88" s="626">
        <f t="shared" si="30"/>
        <v>7.8104139117867559</v>
      </c>
      <c r="R88" s="626">
        <f t="shared" si="30"/>
        <v>8.052536743052146</v>
      </c>
      <c r="S88" s="626">
        <f t="shared" si="30"/>
        <v>8.3021653820867609</v>
      </c>
      <c r="T88" s="626">
        <f t="shared" si="30"/>
        <v>8.5595325089314507</v>
      </c>
      <c r="U88" s="626">
        <f t="shared" si="30"/>
        <v>8.8248780167083236</v>
      </c>
      <c r="V88" s="626">
        <f t="shared" si="30"/>
        <v>9.0984492352262816</v>
      </c>
      <c r="W88" s="626">
        <f t="shared" si="30"/>
        <v>9.3805011615182963</v>
      </c>
      <c r="X88" s="626">
        <f t="shared" si="30"/>
        <v>9.6712966975253618</v>
      </c>
      <c r="Y88" s="626">
        <f t="shared" si="30"/>
        <v>9.9711068951486475</v>
      </c>
      <c r="Z88" s="626">
        <f t="shared" si="30"/>
        <v>10.280211208898253</v>
      </c>
      <c r="AA88" s="626">
        <f t="shared" si="30"/>
        <v>10.598897756374098</v>
      </c>
      <c r="AB88" s="626">
        <f t="shared" si="30"/>
        <v>10.927463586821695</v>
      </c>
      <c r="AC88" s="626">
        <f t="shared" si="30"/>
        <v>11.266214958013167</v>
      </c>
      <c r="AD88" s="626">
        <f t="shared" si="30"/>
        <v>11.615467621711574</v>
      </c>
      <c r="AE88" s="625">
        <f>AE87/('Hipóteses xerais (2)'!$F$39*12)</f>
        <v>8.2490930554640673</v>
      </c>
    </row>
    <row r="89" spans="3:31" ht="55" hidden="1" customHeight="1" x14ac:dyDescent="0.35">
      <c r="C89" s="624" t="s">
        <v>859</v>
      </c>
      <c r="D89" s="623" t="s">
        <v>858</v>
      </c>
      <c r="E89" s="10"/>
      <c r="F89" s="626">
        <f t="shared" ref="F89:AD89" si="31">F86/(F79*1000)</f>
        <v>1.8961652117794911E-5</v>
      </c>
      <c r="G89" s="626">
        <f t="shared" si="31"/>
        <v>1.9549463333446553E-5</v>
      </c>
      <c r="H89" s="626">
        <f t="shared" si="31"/>
        <v>2.0155496696783396E-5</v>
      </c>
      <c r="I89" s="626">
        <f t="shared" si="31"/>
        <v>2.078031709438368E-5</v>
      </c>
      <c r="J89" s="626">
        <f t="shared" si="31"/>
        <v>2.142450692430957E-5</v>
      </c>
      <c r="K89" s="626">
        <f t="shared" si="31"/>
        <v>2.2088666638963167E-5</v>
      </c>
      <c r="L89" s="626">
        <f t="shared" si="31"/>
        <v>2.2773415304771022E-5</v>
      </c>
      <c r="M89" s="626">
        <f t="shared" si="31"/>
        <v>2.347939117921892E-5</v>
      </c>
      <c r="N89" s="626">
        <f t="shared" si="31"/>
        <v>2.4207252305774703E-5</v>
      </c>
      <c r="O89" s="626">
        <f t="shared" si="31"/>
        <v>2.4957677127253714E-5</v>
      </c>
      <c r="P89" s="626">
        <f t="shared" si="31"/>
        <v>2.5731365118198576E-5</v>
      </c>
      <c r="Q89" s="626">
        <f t="shared" si="31"/>
        <v>2.6529037436862729E-5</v>
      </c>
      <c r="R89" s="626">
        <f t="shared" si="31"/>
        <v>2.7351437597405472E-5</v>
      </c>
      <c r="S89" s="626">
        <f t="shared" si="31"/>
        <v>2.819933216292504E-5</v>
      </c>
      <c r="T89" s="626">
        <f t="shared" si="31"/>
        <v>2.9073511459975715E-5</v>
      </c>
      <c r="U89" s="626">
        <f t="shared" si="31"/>
        <v>2.9974790315234959E-5</v>
      </c>
      <c r="V89" s="626">
        <f t="shared" si="31"/>
        <v>3.0904008815007244E-5</v>
      </c>
      <c r="W89" s="626">
        <f t="shared" si="31"/>
        <v>3.1862033088272466E-5</v>
      </c>
      <c r="X89" s="626">
        <f t="shared" si="31"/>
        <v>3.2849756114008905E-5</v>
      </c>
      <c r="Y89" s="626">
        <f t="shared" si="31"/>
        <v>3.3868098553543176E-5</v>
      </c>
      <c r="Z89" s="626">
        <f t="shared" si="31"/>
        <v>3.4918009608703014E-5</v>
      </c>
      <c r="AA89" s="626">
        <f t="shared" si="31"/>
        <v>3.6000467906572802E-5</v>
      </c>
      <c r="AB89" s="626">
        <f t="shared" si="31"/>
        <v>3.7116482411676559E-5</v>
      </c>
      <c r="AC89" s="626">
        <f t="shared" si="31"/>
        <v>3.8267093366438527E-5</v>
      </c>
      <c r="AD89" s="626">
        <f t="shared" si="31"/>
        <v>3.9453373260798121E-5</v>
      </c>
      <c r="AE89" s="626">
        <f>SUM(F89:AD89)</f>
        <v>7.0047663593832295E-4</v>
      </c>
    </row>
    <row r="90" spans="3:31" hidden="1" x14ac:dyDescent="0.35">
      <c r="C90" s="1418"/>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row>
    <row r="91" spans="3:31" hidden="1" x14ac:dyDescent="0.35">
      <c r="C91" s="1417" t="s">
        <v>857</v>
      </c>
      <c r="D91" s="1416" t="s">
        <v>856</v>
      </c>
      <c r="E91" s="1415"/>
      <c r="F91" s="1415"/>
      <c r="G91" s="1415"/>
      <c r="H91" s="1415"/>
      <c r="I91" s="1415"/>
      <c r="J91" s="1415"/>
      <c r="K91" s="1415"/>
      <c r="L91" s="1415"/>
      <c r="M91" s="1415"/>
      <c r="N91" s="1415"/>
      <c r="O91" s="1415"/>
      <c r="P91" s="1415"/>
      <c r="Q91" s="1415"/>
      <c r="R91" s="1415"/>
      <c r="S91" s="1415"/>
      <c r="T91" s="1415"/>
      <c r="U91" s="1415"/>
      <c r="V91" s="1415"/>
      <c r="W91" s="1415"/>
      <c r="X91" s="1415"/>
      <c r="Y91" s="1415"/>
      <c r="Z91" s="1415"/>
      <c r="AA91" s="1415"/>
      <c r="AB91" s="1415"/>
      <c r="AC91" s="1415"/>
      <c r="AD91" s="1415"/>
      <c r="AE91" s="1414"/>
    </row>
    <row r="92" spans="3:31" ht="59" hidden="1" thickTop="1" thickBot="1" x14ac:dyDescent="0.4">
      <c r="C92" s="617" t="s">
        <v>855</v>
      </c>
      <c r="D92" s="616" t="s">
        <v>854</v>
      </c>
      <c r="E92" s="1413"/>
      <c r="F92" s="614">
        <f>F75+(F87*(1+'Hipóteses xerais (2)'!$C$16))</f>
        <v>182.55629999999999</v>
      </c>
      <c r="G92" s="614">
        <f>G75+(G87*(1+'Hipóteses xerais (2)'!$C$16))</f>
        <v>184.7333625</v>
      </c>
      <c r="H92" s="614">
        <f>H75+(H87*(1+'Hipóteses xerais (2)'!$C$16))</f>
        <v>191.99209673749999</v>
      </c>
      <c r="I92" s="614">
        <f>I75+(I87*(1+'Hipóteses xerais (2)'!$C$16))</f>
        <v>199.4804341363625</v>
      </c>
      <c r="J92" s="614">
        <f>J75+(J87*(1+'Hipóteses xerais (2)'!$C$16))</f>
        <v>207.20563903138975</v>
      </c>
      <c r="K92" s="614">
        <f>K75+(K87*(1+'Hipóteses xerais (2)'!$C$16))</f>
        <v>215.17520564414039</v>
      </c>
      <c r="L92" s="614">
        <f>L75+(L87*(1+'Hipóteses xerais (2)'!$C$16))</f>
        <v>223.39686535957523</v>
      </c>
      <c r="M92" s="614">
        <f>M75+(M87*(1+'Hipóteses xerais (2)'!$C$16))</f>
        <v>231.87859423308345</v>
      </c>
      <c r="N92" s="614">
        <f>N75+(N87*(1+'Hipóteses xerais (2)'!$C$16))</f>
        <v>240.62862073518602</v>
      </c>
      <c r="O92" s="614">
        <f>O75+(O87*(1+'Hipóteses xerais (2)'!$C$16))</f>
        <v>249.65543374144181</v>
      </c>
      <c r="P92" s="614">
        <f>P75+(P87*(1+'Hipóteses xerais (2)'!$C$16))</f>
        <v>258.96779077532244</v>
      </c>
      <c r="Q92" s="614">
        <f>Q75+(Q87*(1+'Hipóteses xerais (2)'!$C$16))</f>
        <v>268.57472651206604</v>
      </c>
      <c r="R92" s="614">
        <f>R75+(R87*(1+'Hipóteses xerais (2)'!$C$16))</f>
        <v>278.48556155177528</v>
      </c>
      <c r="S92" s="614">
        <f>S75+(S87*(1+'Hipóteses xerais (2)'!$C$16))</f>
        <v>288.70991147028639</v>
      </c>
      <c r="T92" s="614">
        <f>T75+(T87*(1+'Hipóteses xerais (2)'!$C$16))</f>
        <v>299.2576961566042</v>
      </c>
      <c r="U92" s="614">
        <f>U75+(U87*(1+'Hipóteses xerais (2)'!$C$16))</f>
        <v>310.13914944598156</v>
      </c>
      <c r="V92" s="614">
        <f>V75+(V87*(1+'Hipóteses xerais (2)'!$C$16))</f>
        <v>321.36482905800233</v>
      </c>
      <c r="W92" s="614">
        <f>W75+(W87*(1+'Hipóteses xerais (2)'!$C$16))</f>
        <v>332.94562684932998</v>
      </c>
      <c r="X92" s="614">
        <f>X75+(X87*(1+'Hipóteses xerais (2)'!$C$16))</f>
        <v>344.89277939108581</v>
      </c>
      <c r="Y92" s="614">
        <f>Y75+(Y87*(1+'Hipóteses xerais (2)'!$C$16))</f>
        <v>357.21787888113766</v>
      </c>
      <c r="Z92" s="614">
        <f>Z75+(Z87*(1+'Hipóteses xerais (2)'!$C$16))</f>
        <v>369.93288440190685</v>
      </c>
      <c r="AA92" s="614">
        <f>AA75+(AA87*(1+'Hipóteses xerais (2)'!$C$16))</f>
        <v>383.05013353463437</v>
      </c>
      <c r="AB92" s="614">
        <f>AB75+(AB87*(1+'Hipóteses xerais (2)'!$C$16))</f>
        <v>396.58235434139704</v>
      </c>
      <c r="AC92" s="614">
        <f>AC75+(AC87*(1+'Hipóteses xerais (2)'!$C$16))</f>
        <v>410.5426777265194</v>
      </c>
      <c r="AD92" s="613">
        <f>AD75+(AD87*(1+'Hipóteses xerais (2)'!$C$16))</f>
        <v>424.94465018939786</v>
      </c>
      <c r="AE92" s="612">
        <f>SUM(F92:AD92)</f>
        <v>7172.3112024041275</v>
      </c>
    </row>
    <row r="93" spans="3:31" ht="15" thickBot="1" x14ac:dyDescent="0.4">
      <c r="C93" s="10"/>
      <c r="D93" s="1412" t="str">
        <f>VLOOKUP("Cota de Socio Mensual Axustada",tabIdiomas26[],MATCH('Indiv. Invoices Comparison'!$J$2,tabIdiomas26[#Headers]),FALSE)</f>
        <v>Adjusted Monthly Membership Fee</v>
      </c>
      <c r="E93" s="1411"/>
      <c r="F93" s="609">
        <f>F76+(F88*(1+'Hipóteses xerais (2)'!$C$16))</f>
        <v>15.213024999999998</v>
      </c>
      <c r="G93" s="609">
        <f>G76+(G88*(1+'Hipóteses xerais (2)'!$C$16))</f>
        <v>15.394446875</v>
      </c>
      <c r="H93" s="609">
        <f>H76+(H88*(1+'Hipóteses xerais (2)'!$C$16))</f>
        <v>15.999341394791664</v>
      </c>
      <c r="I93" s="609">
        <f>I76+(I88*(1+'Hipóteses xerais (2)'!$C$16))</f>
        <v>16.623369511363542</v>
      </c>
      <c r="J93" s="609">
        <f>J76+(J88*(1+'Hipóteses xerais (2)'!$C$16))</f>
        <v>17.267136585949146</v>
      </c>
      <c r="K93" s="609">
        <f>K76+(K88*(1+'Hipóteses xerais (2)'!$C$16))</f>
        <v>17.931267137011698</v>
      </c>
      <c r="L93" s="609">
        <f>L76+(L88*(1+'Hipóteses xerais (2)'!$C$16))</f>
        <v>18.616405446631269</v>
      </c>
      <c r="M93" s="609">
        <f>M76+(M88*(1+'Hipóteses xerais (2)'!$C$16))</f>
        <v>19.323216186090285</v>
      </c>
      <c r="N93" s="609">
        <f>N76+(N88*(1+'Hipóteses xerais (2)'!$C$16))</f>
        <v>20.052385061265504</v>
      </c>
      <c r="O93" s="609">
        <f>O76+(O88*(1+'Hipóteses xerais (2)'!$C$16))</f>
        <v>20.804619478453482</v>
      </c>
      <c r="P93" s="609">
        <f>P76+(P88*(1+'Hipóteses xerais (2)'!$C$16))</f>
        <v>21.580649231276869</v>
      </c>
      <c r="Q93" s="609">
        <f>Q76+(Q88*(1+'Hipóteses xerais (2)'!$C$16))</f>
        <v>22.381227209338835</v>
      </c>
      <c r="R93" s="609">
        <f>R76+(R88*(1+'Hipóteses xerais (2)'!$C$16))</f>
        <v>23.207130129314606</v>
      </c>
      <c r="S93" s="609">
        <f>S76+(S88*(1+'Hipóteses xerais (2)'!$C$16))</f>
        <v>24.059159289190532</v>
      </c>
      <c r="T93" s="609">
        <f>T76+(T88*(1+'Hipóteses xerais (2)'!$C$16))</f>
        <v>24.938141346383688</v>
      </c>
      <c r="U93" s="609">
        <f>U76+(U88*(1+'Hipóteses xerais (2)'!$C$16))</f>
        <v>25.844929120498463</v>
      </c>
      <c r="V93" s="609">
        <f>V76+(V88*(1+'Hipóteses xerais (2)'!$C$16))</f>
        <v>26.780402421500195</v>
      </c>
      <c r="W93" s="609">
        <f>W76+(W88*(1+'Hipóteses xerais (2)'!$C$16))</f>
        <v>27.745468904110833</v>
      </c>
      <c r="X93" s="609">
        <f>X76+(X88*(1+'Hipóteses xerais (2)'!$C$16))</f>
        <v>28.741064949257151</v>
      </c>
      <c r="Y93" s="609">
        <f>Y76+(Y88*(1+'Hipóteses xerais (2)'!$C$16))</f>
        <v>29.76815657342814</v>
      </c>
      <c r="Z93" s="609">
        <f>Z76+(Z88*(1+'Hipóteses xerais (2)'!$C$16))</f>
        <v>30.827740366825566</v>
      </c>
      <c r="AA93" s="609">
        <f>AA76+(AA88*(1+'Hipóteses xerais (2)'!$C$16))</f>
        <v>31.920844461219531</v>
      </c>
      <c r="AB93" s="609">
        <f>AB76+(AB88*(1+'Hipóteses xerais (2)'!$C$16))</f>
        <v>33.048529528449755</v>
      </c>
      <c r="AC93" s="609">
        <f>AC76+(AC88*(1+'Hipóteses xerais (2)'!$C$16))</f>
        <v>34.211889810543283</v>
      </c>
      <c r="AD93" s="608">
        <f>AD76+(AD88*(1+'Hipóteses xerais (2)'!$C$16))</f>
        <v>35.412054182449822</v>
      </c>
      <c r="AE93" s="607">
        <f>AE92/('Hipóteses xerais (2)'!$F$39*12)</f>
        <v>23.907704008013759</v>
      </c>
    </row>
    <row r="95" spans="3:31" ht="15" thickBot="1" x14ac:dyDescent="0.4">
      <c r="F95" s="150"/>
    </row>
    <row r="96" spans="3:31" ht="15" thickBot="1" x14ac:dyDescent="0.4">
      <c r="C96" s="606" t="str">
        <f>VLOOKUP("Cotas de Socios Axustadas por Impacto Fiscal no Ano Inicial",tabIdiomas26[],MATCH('Indiv. Invoices Comparison'!$J$2,tabIdiomas26[#Headers]),FALSE)</f>
        <v>Adjusted Monthly Membership Fees in the Initial Year</v>
      </c>
      <c r="D96" s="792" t="str">
        <f>VLOOKUP("Mensual",tabIdiomas26[],MATCH('Indiv. Invoices Comparison'!$J$2,tabIdiomas26[#Headers]),FALSE)</f>
        <v>Monthly</v>
      </c>
      <c r="E96" s="791" t="str">
        <f>VLOOKUP("Anual",tabIdiomas26[],MATCH('Indiv. Invoices Comparison'!$J$2,tabIdiomas26[#Headers]),FALSE)</f>
        <v>Annual</v>
      </c>
    </row>
    <row r="97" spans="3:5" ht="44" thickBot="1" x14ac:dyDescent="0.4">
      <c r="C97" s="1410" t="str">
        <f>VLOOKUP("Cota Mínima Axustada por Impacto Fiscal a satisfacer polo Socio Tipo (Consumo = 294,41 KWh ao Mes)",tabIdiomas26[],MATCH('Indiv. Invoices Comparison'!$J$2,tabIdiomas26[#Headers]),FALSE)</f>
        <v>Minimum Membership Fee, Adjusted for the Fiscal Impact, to be satisfied by the Typical Partner (Consumption = 294,41 KWh per Month)</v>
      </c>
      <c r="D97" s="602">
        <f>$F$93</f>
        <v>15.213024999999998</v>
      </c>
      <c r="E97" s="601">
        <f>$F$92</f>
        <v>182.55629999999999</v>
      </c>
    </row>
  </sheetData>
  <sheetProtection algorithmName="SHA-512" hashValue="JMmGL0RyCycodeLRai7jvlUt4xnaafO6nNfzu0K/sN/I6Ixlq7w9NZwhgtZx24yxgJd5/HkYcfC+hdpPqscVSw==" saltValue="Wrtm0gn8QFRf54fLBUz6UQ==" spinCount="100000" sheet="1" objects="1" scenarios="1"/>
  <mergeCells count="2">
    <mergeCell ref="D4:E4"/>
    <mergeCell ref="D60:E60"/>
  </mergeCells>
  <dataValidations count="1">
    <dataValidation type="list" allowBlank="1" showInputMessage="1" showErrorMessage="1" sqref="G2" xr:uid="{160D2D11-ABA9-4C49-BD7B-3D13E3D2E802}">
      <formula1>"English"</formula1>
    </dataValidation>
  </dataValidations>
  <printOptions horizontalCentered="1"/>
  <pageMargins left="0.70866141732283472" right="0.70866141732283472" top="0.39370078740157483" bottom="0.35433070866141736" header="0.31496062992125984" footer="0.31496062992125984"/>
  <pageSetup paperSize="9" fitToWidth="0" orientation="portrait"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11526-CCD5-424F-8933-544F118CCECC}">
  <dimension ref="B2:AC53"/>
  <sheetViews>
    <sheetView topLeftCell="A14" workbookViewId="0">
      <selection activeCell="B4" sqref="B4:D30"/>
    </sheetView>
  </sheetViews>
  <sheetFormatPr baseColWidth="10" defaultColWidth="11.453125" defaultRowHeight="14.5" x14ac:dyDescent="0.35"/>
  <cols>
    <col min="1" max="1" width="11.453125" style="10"/>
    <col min="2" max="2" width="54.90625" style="10" bestFit="1" customWidth="1"/>
    <col min="3" max="4" width="14.453125" style="10" bestFit="1" customWidth="1"/>
    <col min="5" max="7" width="13" style="10" bestFit="1" customWidth="1"/>
    <col min="8" max="12" width="12.54296875" style="10" bestFit="1" customWidth="1"/>
    <col min="13" max="13" width="13" style="10" customWidth="1"/>
    <col min="14" max="14" width="13.6328125" style="10" customWidth="1"/>
    <col min="15" max="28" width="12.54296875" style="10" bestFit="1" customWidth="1"/>
    <col min="29" max="29" width="20.453125" style="10" bestFit="1" customWidth="1"/>
    <col min="30" max="16384" width="11.453125" style="10"/>
  </cols>
  <sheetData>
    <row r="2" spans="2:29" x14ac:dyDescent="0.35">
      <c r="B2" s="64" t="str">
        <f>VLOOKUP("Fluxos de Caixa",tabIdiomas26[],MATCH('Indiv. Invoices Comparison'!$J$2,tabIdiomas26[#Headers]),FALSE)</f>
        <v>Cash Flows</v>
      </c>
    </row>
    <row r="3" spans="2:29" ht="15" thickBot="1" x14ac:dyDescent="0.4"/>
    <row r="4" spans="2:29" ht="15.5" thickTop="1" thickBot="1" x14ac:dyDescent="0.4">
      <c r="B4" s="1565"/>
      <c r="C4" s="1127">
        <v>0</v>
      </c>
      <c r="D4" s="1127">
        <v>1</v>
      </c>
      <c r="E4" s="1127">
        <v>2</v>
      </c>
      <c r="F4" s="1127">
        <v>3</v>
      </c>
      <c r="G4" s="1127">
        <v>4</v>
      </c>
      <c r="H4" s="1127">
        <v>5</v>
      </c>
      <c r="I4" s="1127">
        <v>6</v>
      </c>
      <c r="J4" s="1127">
        <v>7</v>
      </c>
      <c r="K4" s="1127">
        <v>8</v>
      </c>
      <c r="L4" s="1127">
        <v>9</v>
      </c>
      <c r="M4" s="1127">
        <v>10</v>
      </c>
      <c r="N4" s="1127">
        <v>11</v>
      </c>
      <c r="O4" s="1127">
        <v>12</v>
      </c>
      <c r="P4" s="1127">
        <v>13</v>
      </c>
      <c r="Q4" s="1127">
        <v>14</v>
      </c>
      <c r="R4" s="1127">
        <v>15</v>
      </c>
      <c r="S4" s="1127">
        <v>16</v>
      </c>
      <c r="T4" s="1127">
        <v>17</v>
      </c>
      <c r="U4" s="1127">
        <v>18</v>
      </c>
      <c r="V4" s="1127">
        <v>19</v>
      </c>
      <c r="W4" s="1127">
        <v>20</v>
      </c>
      <c r="X4" s="1127">
        <v>21</v>
      </c>
      <c r="Y4" s="1127">
        <v>22</v>
      </c>
      <c r="Z4" s="1127">
        <v>23</v>
      </c>
      <c r="AA4" s="1567">
        <v>24</v>
      </c>
      <c r="AB4" s="1566">
        <v>25</v>
      </c>
      <c r="AC4" s="1565" t="str">
        <f>VLOOKUP("Total Proxecto",tabIdiomas26[],MATCH('Indiv. Invoices Comparison'!$J$2,tabIdiomas26[#Headers]),FALSE)</f>
        <v>Project Total</v>
      </c>
    </row>
    <row r="5" spans="2:29" ht="15" thickBot="1" x14ac:dyDescent="0.4">
      <c r="B5" s="1563" t="str">
        <f>VLOOKUP("Conceptos",tabIdiomas26[],MATCH('Indiv. Invoices Comparison'!$J$2,tabIdiomas26[#Headers]),FALSE)</f>
        <v>Concepts</v>
      </c>
      <c r="C5" s="65"/>
      <c r="D5" s="65">
        <f>'Operating Account'!F$5</f>
        <v>2025</v>
      </c>
      <c r="E5" s="65">
        <f>'Operating Account'!G$5</f>
        <v>2026</v>
      </c>
      <c r="F5" s="65">
        <f>'Operating Account'!H$5</f>
        <v>2027</v>
      </c>
      <c r="G5" s="65">
        <f>'Operating Account'!I$5</f>
        <v>2028</v>
      </c>
      <c r="H5" s="65">
        <f>'Operating Account'!J$5</f>
        <v>2029</v>
      </c>
      <c r="I5" s="65">
        <f>'Operating Account'!K$5</f>
        <v>2030</v>
      </c>
      <c r="J5" s="65">
        <f>'Operating Account'!L$5</f>
        <v>2031</v>
      </c>
      <c r="K5" s="65">
        <f>'Operating Account'!M$5</f>
        <v>2032</v>
      </c>
      <c r="L5" s="65">
        <f>'Operating Account'!N$5</f>
        <v>2033</v>
      </c>
      <c r="M5" s="65">
        <f>'Operating Account'!O$5</f>
        <v>2034</v>
      </c>
      <c r="N5" s="65">
        <f>'Operating Account'!P$5</f>
        <v>2035</v>
      </c>
      <c r="O5" s="65">
        <f>'Operating Account'!Q$5</f>
        <v>2036</v>
      </c>
      <c r="P5" s="65">
        <f>'Operating Account'!R$5</f>
        <v>2037</v>
      </c>
      <c r="Q5" s="65">
        <f>'Operating Account'!S$5</f>
        <v>2038</v>
      </c>
      <c r="R5" s="65">
        <f>'Operating Account'!T$5</f>
        <v>2039</v>
      </c>
      <c r="S5" s="65">
        <f>'Operating Account'!U$5</f>
        <v>2040</v>
      </c>
      <c r="T5" s="65">
        <f>'Operating Account'!V$5</f>
        <v>2041</v>
      </c>
      <c r="U5" s="65">
        <f>'Operating Account'!W$5</f>
        <v>2042</v>
      </c>
      <c r="V5" s="65">
        <f>'Operating Account'!X$5</f>
        <v>2043</v>
      </c>
      <c r="W5" s="65">
        <f>'Operating Account'!Y$5</f>
        <v>2044</v>
      </c>
      <c r="X5" s="65">
        <f>'Operating Account'!Z$5</f>
        <v>2045</v>
      </c>
      <c r="Y5" s="65">
        <f>'Operating Account'!AA$5</f>
        <v>2046</v>
      </c>
      <c r="Z5" s="65">
        <f>'Operating Account'!AB$5</f>
        <v>2047</v>
      </c>
      <c r="AA5" s="1564">
        <f>'Operating Account'!AC$5</f>
        <v>2048</v>
      </c>
      <c r="AB5" s="1124">
        <f>'Operating Account'!AD$5</f>
        <v>2049</v>
      </c>
      <c r="AC5" s="1563" t="str">
        <f>VLOOKUP("Conxunto dos 25 Anos",tabIdiomas26[],MATCH('Indiv. Invoices Comparison'!$J$2,tabIdiomas26[#Headers]),FALSE)</f>
        <v xml:space="preserve"> 25 Year Set</v>
      </c>
    </row>
    <row r="6" spans="2:29" ht="15.5" thickTop="1" thickBot="1" x14ac:dyDescent="0.4">
      <c r="B6" s="981" t="str">
        <f>VLOOKUP("Fluxo de Caixa Operativo",tabIdiomas26[],MATCH('Indiv. Invoices Comparison'!$J$2,tabIdiomas26[#Headers]),FALSE)</f>
        <v>Operating Cash Flow</v>
      </c>
      <c r="C6" s="1790"/>
      <c r="D6" s="1791"/>
      <c r="E6" s="1791"/>
      <c r="F6" s="1791"/>
      <c r="G6" s="1791"/>
      <c r="H6" s="1791"/>
      <c r="I6" s="1791"/>
      <c r="J6" s="1791"/>
      <c r="K6" s="1791"/>
      <c r="L6" s="1791"/>
      <c r="M6" s="1791"/>
      <c r="N6" s="1791"/>
      <c r="O6" s="1791"/>
      <c r="P6" s="1791"/>
      <c r="Q6" s="1791"/>
      <c r="R6" s="1791"/>
      <c r="S6" s="1791"/>
      <c r="T6" s="1791"/>
      <c r="U6" s="1791"/>
      <c r="V6" s="1791"/>
      <c r="W6" s="1791"/>
      <c r="X6" s="1791"/>
      <c r="Y6" s="1791"/>
      <c r="Z6" s="1791"/>
      <c r="AA6" s="1791"/>
      <c r="AB6" s="1792"/>
      <c r="AC6" s="1793"/>
    </row>
    <row r="7" spans="2:29" x14ac:dyDescent="0.35">
      <c r="B7" s="1794" t="str">
        <f>VLOOKUP("Resultado de Explotación",tabIdiomas26[],MATCH('Indiv. Invoices Comparison'!$J$2,tabIdiomas26[#Headers]),FALSE)</f>
        <v>Operating Result</v>
      </c>
      <c r="C7" s="1562"/>
      <c r="D7" s="1562">
        <f>'Operating Account'!F51</f>
        <v>7259</v>
      </c>
      <c r="E7" s="1562">
        <f>'Operating Account'!G51</f>
        <v>7466.6689999999999</v>
      </c>
      <c r="F7" s="1562">
        <f>'Operating Account'!H51</f>
        <v>7680.7757389999988</v>
      </c>
      <c r="G7" s="1562">
        <f>'Operating Account'!I51</f>
        <v>7901.5197869089989</v>
      </c>
      <c r="H7" s="1562">
        <f>'Operating Account'!J51</f>
        <v>8129.1069003031771</v>
      </c>
      <c r="I7" s="1562">
        <f>'Operating Account'!K51</f>
        <v>8363.7492142125739</v>
      </c>
      <c r="J7" s="1562">
        <f>'Operating Account'!L51</f>
        <v>8605.6654398531628</v>
      </c>
      <c r="K7" s="1562">
        <f>'Operating Account'!M51</f>
        <v>8855.0810684886092</v>
      </c>
      <c r="L7" s="1562">
        <f>'Operating Account'!N51</f>
        <v>9112.2285816117546</v>
      </c>
      <c r="M7" s="1562">
        <f>'Operating Account'!O51</f>
        <v>9377.3476676417195</v>
      </c>
      <c r="N7" s="1562">
        <f>'Operating Account'!P51</f>
        <v>9650.6854453386113</v>
      </c>
      <c r="O7" s="1562">
        <f>'Operating Account'!Q51</f>
        <v>9932.4966941441089</v>
      </c>
      <c r="P7" s="1562">
        <f>'Operating Account'!R51</f>
        <v>10223.044091662574</v>
      </c>
      <c r="Q7" s="1562">
        <f>'Operating Account'!S51</f>
        <v>10522.598458504111</v>
      </c>
      <c r="R7" s="1562">
        <f>'Operating Account'!T51</f>
        <v>10831.439010717742</v>
      </c>
      <c r="S7" s="1562">
        <f>'Operating Account'!U51</f>
        <v>11149.853620049989</v>
      </c>
      <c r="T7" s="1562">
        <f>'Operating Account'!V51</f>
        <v>11478.139082271537</v>
      </c>
      <c r="U7" s="1562">
        <f>'Operating Account'!W51</f>
        <v>11816.601393821955</v>
      </c>
      <c r="V7" s="1562">
        <f>'Operating Account'!X51</f>
        <v>12165.556037030434</v>
      </c>
      <c r="W7" s="1562">
        <f>'Operating Account'!Y51</f>
        <v>12525.328274178379</v>
      </c>
      <c r="X7" s="1562">
        <f>'Operating Account'!Z51</f>
        <v>12896.253450677903</v>
      </c>
      <c r="Y7" s="1562">
        <f>'Operating Account'!AA51</f>
        <v>13278.677307648917</v>
      </c>
      <c r="Z7" s="1562">
        <f>'Operating Account'!AB51</f>
        <v>13672.956304186033</v>
      </c>
      <c r="AA7" s="1562">
        <f>'Operating Account'!AC51</f>
        <v>14079.4579496158</v>
      </c>
      <c r="AB7" s="1561">
        <f>'Operating Account'!AD51</f>
        <v>14498.561146053889</v>
      </c>
      <c r="AC7" s="1560">
        <f t="shared" ref="AC7:AC15" si="0">SUM(C7:AB7)</f>
        <v>261472.79166392199</v>
      </c>
    </row>
    <row r="8" spans="2:29" x14ac:dyDescent="0.35">
      <c r="B8" s="1795" t="str">
        <f>VLOOKUP("(-) Ingresos por Enerxía Autoconsumida e Compensada",tabIdiomas26[],MATCH('Indiv. Invoices Comparison'!$J$2,tabIdiomas26[#Headers]),FALSE)</f>
        <v>(-) Self-consumed and Compensated Energy Revenues</v>
      </c>
      <c r="C8" s="1556"/>
      <c r="D8" s="1556">
        <f>IF('Hipóteses Xerais'!$B$34="Non",(-('Operating Account'!F6+'Operating Account'!F7)),0)</f>
        <v>0</v>
      </c>
      <c r="E8" s="1556">
        <f>IF('Hipóteses Xerais'!$B$34="Non",(-('Operating Account'!G6+'Operating Account'!G7)),0)</f>
        <v>0</v>
      </c>
      <c r="F8" s="1556">
        <f>IF('Hipóteses Xerais'!$B$34="Non",(-('Operating Account'!H6+'Operating Account'!H7)),0)</f>
        <v>0</v>
      </c>
      <c r="G8" s="1556">
        <f>IF('Hipóteses Xerais'!$B$34="Non",(-('Operating Account'!I6+'Operating Account'!I7)),0)</f>
        <v>0</v>
      </c>
      <c r="H8" s="1556">
        <f>IF('Hipóteses Xerais'!$B$34="Non",(-('Operating Account'!J6+'Operating Account'!J7)),0)</f>
        <v>0</v>
      </c>
      <c r="I8" s="1556">
        <f>IF('Hipóteses Xerais'!$B$34="Non",(-('Operating Account'!K6+'Operating Account'!K7)),0)</f>
        <v>0</v>
      </c>
      <c r="J8" s="1556">
        <f>IF('Hipóteses Xerais'!$B$34="Non",(-('Operating Account'!L6+'Operating Account'!L7)),0)</f>
        <v>0</v>
      </c>
      <c r="K8" s="1556">
        <f>IF('Hipóteses Xerais'!$B$34="Non",(-('Operating Account'!M6+'Operating Account'!M7)),0)</f>
        <v>0</v>
      </c>
      <c r="L8" s="1556">
        <f>IF('Hipóteses Xerais'!$B$34="Non",(-('Operating Account'!N6+'Operating Account'!N7)),0)</f>
        <v>0</v>
      </c>
      <c r="M8" s="1556">
        <f>IF('Hipóteses Xerais'!$B$34="Non",(-('Operating Account'!O6+'Operating Account'!O7)),0)</f>
        <v>0</v>
      </c>
      <c r="N8" s="1556">
        <f>IF('Hipóteses Xerais'!$B$34="Non",(-('Operating Account'!P6+'Operating Account'!P7)),0)</f>
        <v>0</v>
      </c>
      <c r="O8" s="1556">
        <f>IF('Hipóteses Xerais'!$B$34="Non",(-('Operating Account'!Q6+'Operating Account'!Q7)),0)</f>
        <v>0</v>
      </c>
      <c r="P8" s="1556">
        <f>IF('Hipóteses Xerais'!$B$34="Non",(-('Operating Account'!R6+'Operating Account'!R7)),0)</f>
        <v>0</v>
      </c>
      <c r="Q8" s="1556">
        <f>IF('Hipóteses Xerais'!$B$34="Non",(-('Operating Account'!S6+'Operating Account'!S7)),0)</f>
        <v>0</v>
      </c>
      <c r="R8" s="1556">
        <f>IF('Hipóteses Xerais'!$B$34="Non",(-('Operating Account'!T6+'Operating Account'!T7)),0)</f>
        <v>0</v>
      </c>
      <c r="S8" s="1556">
        <f>IF('Hipóteses Xerais'!$B$34="Non",(-('Operating Account'!U6+'Operating Account'!U7)),0)</f>
        <v>0</v>
      </c>
      <c r="T8" s="1556">
        <f>IF('Hipóteses Xerais'!$B$34="Non",(-('Operating Account'!V6+'Operating Account'!V7)),0)</f>
        <v>0</v>
      </c>
      <c r="U8" s="1556">
        <f>IF('Hipóteses Xerais'!$B$34="Non",(-('Operating Account'!W6+'Operating Account'!W7)),0)</f>
        <v>0</v>
      </c>
      <c r="V8" s="1556">
        <f>IF('Hipóteses Xerais'!$B$34="Non",(-('Operating Account'!X6+'Operating Account'!X7)),0)</f>
        <v>0</v>
      </c>
      <c r="W8" s="1556">
        <f>IF('Hipóteses Xerais'!$B$34="Non",(-('Operating Account'!Y6+'Operating Account'!Y7)),0)</f>
        <v>0</v>
      </c>
      <c r="X8" s="1556">
        <f>IF('Hipóteses Xerais'!$B$34="Non",(-('Operating Account'!Z6+'Operating Account'!Z7)),0)</f>
        <v>0</v>
      </c>
      <c r="Y8" s="1556">
        <f>IF('Hipóteses Xerais'!$B$34="Non",(-('Operating Account'!AA6+'Operating Account'!AA7)),0)</f>
        <v>0</v>
      </c>
      <c r="Z8" s="1556">
        <f>IF('Hipóteses Xerais'!$B$34="Non",(-('Operating Account'!AB6+'Operating Account'!AB7)),0)</f>
        <v>0</v>
      </c>
      <c r="AA8" s="1556">
        <f>IF('Hipóteses Xerais'!$B$34="Non",(-('Operating Account'!AC6+'Operating Account'!AC7)),0)</f>
        <v>0</v>
      </c>
      <c r="AB8" s="1555">
        <f>IF('Hipóteses Xerais'!$B$34="Non",(-('Operating Account'!AD6+'Operating Account'!AD7)),0)</f>
        <v>0</v>
      </c>
      <c r="AC8" s="1559">
        <f t="shared" si="0"/>
        <v>0</v>
      </c>
    </row>
    <row r="9" spans="2:29" x14ac:dyDescent="0.35">
      <c r="B9" s="1796" t="str">
        <f>VLOOKUP("(+) Amortización do Investimento",tabIdiomas26[],MATCH('Indiv. Invoices Comparison'!$J$2,tabIdiomas26[#Headers]),FALSE)</f>
        <v>(+) Amortization of the Investment</v>
      </c>
      <c r="C9" s="1556"/>
      <c r="D9" s="1556">
        <f>'Operating Account'!F$44</f>
        <v>0</v>
      </c>
      <c r="E9" s="1556">
        <f>'Operating Account'!G44</f>
        <v>0</v>
      </c>
      <c r="F9" s="1556">
        <f>'Operating Account'!H44</f>
        <v>0</v>
      </c>
      <c r="G9" s="1556">
        <f>'Operating Account'!I44</f>
        <v>0</v>
      </c>
      <c r="H9" s="1556">
        <f>'Operating Account'!J44</f>
        <v>0</v>
      </c>
      <c r="I9" s="1556">
        <f>'Operating Account'!K44</f>
        <v>0</v>
      </c>
      <c r="J9" s="1556">
        <f>'Operating Account'!L44</f>
        <v>0</v>
      </c>
      <c r="K9" s="1556">
        <f>'Operating Account'!M44</f>
        <v>0</v>
      </c>
      <c r="L9" s="1556">
        <f>'Operating Account'!N44</f>
        <v>0</v>
      </c>
      <c r="M9" s="1556">
        <f>'Operating Account'!O44</f>
        <v>0</v>
      </c>
      <c r="N9" s="1556">
        <f>'Operating Account'!P44</f>
        <v>0</v>
      </c>
      <c r="O9" s="1556">
        <f>'Operating Account'!Q44</f>
        <v>0</v>
      </c>
      <c r="P9" s="1556">
        <f>'Operating Account'!R44</f>
        <v>0</v>
      </c>
      <c r="Q9" s="1556">
        <f>'Operating Account'!S44</f>
        <v>0</v>
      </c>
      <c r="R9" s="1556">
        <f>'Operating Account'!T44</f>
        <v>0</v>
      </c>
      <c r="S9" s="1556">
        <f>'Operating Account'!U44</f>
        <v>0</v>
      </c>
      <c r="T9" s="1556">
        <f>'Operating Account'!V44</f>
        <v>0</v>
      </c>
      <c r="U9" s="1556">
        <f>'Operating Account'!W44</f>
        <v>0</v>
      </c>
      <c r="V9" s="1556">
        <f>'Operating Account'!X44</f>
        <v>0</v>
      </c>
      <c r="W9" s="1556">
        <f>'Operating Account'!Y44</f>
        <v>0</v>
      </c>
      <c r="X9" s="1556">
        <f>'Operating Account'!Z44</f>
        <v>0</v>
      </c>
      <c r="Y9" s="1556">
        <f>'Operating Account'!AA44</f>
        <v>0</v>
      </c>
      <c r="Z9" s="1556">
        <f>'Operating Account'!AB44</f>
        <v>0</v>
      </c>
      <c r="AA9" s="1556">
        <f>'Operating Account'!AC44</f>
        <v>0</v>
      </c>
      <c r="AB9" s="1555">
        <f>'Operating Account'!AD44</f>
        <v>0</v>
      </c>
      <c r="AC9" s="1554">
        <f t="shared" si="0"/>
        <v>0</v>
      </c>
    </row>
    <row r="10" spans="2:29" ht="29" x14ac:dyDescent="0.35">
      <c r="B10" s="1558" t="str">
        <f>VLOOKUP("(+) Variación Neta do Capital Circulante (Estimado en 1 Mes de Gastos de Explotación)",tabIdiomas26[],MATCH('Indiv. Invoices Comparison'!$J$2,tabIdiomas26[#Headers]),FALSE)</f>
        <v>(+) Net Change in Working Capital (Estimated in 1 Month of Operating Expenses)</v>
      </c>
      <c r="C10" s="1556"/>
      <c r="D10" s="1556">
        <f>'Operating Account'!F40/12</f>
        <v>299.20583333333332</v>
      </c>
      <c r="E10" s="1556">
        <f>('Operating Account'!G40/12)-D10</f>
        <v>-0.87250000000000227</v>
      </c>
      <c r="F10" s="1556">
        <f>('Operating Account'!H40/12)-(D10+E10)</f>
        <v>9.5466666666666242</v>
      </c>
      <c r="G10" s="1556">
        <f>('Operating Account'!I40/12)-(D10+E10+F10)</f>
        <v>9.8521600000000831</v>
      </c>
      <c r="H10" s="1556">
        <f>('Operating Account'!J40/12)-(SUM(D10:G10))</f>
        <v>10.167429120000008</v>
      </c>
      <c r="I10" s="1556">
        <f>('Operating Account'!K40/12)-SUM(D10:H10)</f>
        <v>10.49278685183998</v>
      </c>
      <c r="J10" s="1556">
        <f>(('Operating Account'!L40/12)-SUM(D10:I10))</f>
        <v>10.828556031098913</v>
      </c>
      <c r="K10" s="1556">
        <f>('Operating Account'!M40/12)-SUM(D10:J10)</f>
        <v>11.17506982409401</v>
      </c>
      <c r="L10" s="1556">
        <f>('Operating Account'!N40/12)-SUM(D10:K10)</f>
        <v>11.532672058465153</v>
      </c>
      <c r="M10" s="1556">
        <f>(('Operating Account'!O40/12)-SUM(D10:L10))</f>
        <v>11.901717564335911</v>
      </c>
      <c r="N10" s="1556">
        <f>('Operating Account'!P40/12)-SUM(D10:M10)</f>
        <v>12.282572526394688</v>
      </c>
      <c r="O10" s="1556">
        <f>('Operating Account'!Q40/12)-SUM(D10:N10)</f>
        <v>12.675614847239387</v>
      </c>
      <c r="P10" s="1556">
        <f>('Operating Account'!R40/12)-SUM(D10:O10)</f>
        <v>13.08123452235094</v>
      </c>
      <c r="Q10" s="1556">
        <f>('Operating Account'!S40/12)-SUM(D10:P10)</f>
        <v>13.499834027066299</v>
      </c>
      <c r="R10" s="1556">
        <f>('Operating Account'!T40/12)-SUM(D10:Q10)</f>
        <v>13.93182871593234</v>
      </c>
      <c r="S10" s="1556">
        <f>('Operating Account'!U40/12)-SUM(D10:R10)</f>
        <v>14.377647234842129</v>
      </c>
      <c r="T10" s="1556">
        <f>('Operating Account'!V40/12)-SUM(D10:S10)</f>
        <v>14.837731946357167</v>
      </c>
      <c r="U10" s="1556">
        <f>('Operating Account'!W40/12)-SUM(D10:T10)</f>
        <v>15.3125393686405</v>
      </c>
      <c r="V10" s="1556">
        <f>('Operating Account'!X40/12)-SUM(D10:U10)</f>
        <v>15.802540628437157</v>
      </c>
      <c r="W10" s="1556">
        <f>('Operating Account'!Y40/12)-SUM(D10:V10)</f>
        <v>16.308221928546914</v>
      </c>
      <c r="X10" s="1556">
        <f>('Operating Account'!Z40/12)-SUM(D10:W10)</f>
        <v>16.830085030260648</v>
      </c>
      <c r="Y10" s="1556">
        <f>('Operating Account'!AA40/12)-SUM(D10:X10)</f>
        <v>17.368647751228877</v>
      </c>
      <c r="Z10" s="1556">
        <f>('Operating Account'!AB40/12)-SUM(D10:Y10)</f>
        <v>17.924444479268232</v>
      </c>
      <c r="AA10" s="1556">
        <f>('Operating Account'!AC40/12)-SUM(D10:Z10)</f>
        <v>18.498026702604648</v>
      </c>
      <c r="AB10" s="1555">
        <f>-SUM(D10:AA10)</f>
        <v>-596.56136115900392</v>
      </c>
      <c r="AC10" s="1554">
        <f t="shared" si="0"/>
        <v>0</v>
      </c>
    </row>
    <row r="11" spans="2:29" x14ac:dyDescent="0.35">
      <c r="B11" s="1558" t="str">
        <f>VLOOKUP("(-) Imputación de Subvencións no Resultado do Exercicio",tabIdiomas26[],MATCH('Indiv. Invoices Comparison'!$J$2,tabIdiomas26[#Headers]),FALSE)</f>
        <v>(-) Allocation of Grants to Profit or Loss for the Year</v>
      </c>
      <c r="C11" s="1556"/>
      <c r="D11" s="1556">
        <f>-('Operating Account'!F14)</f>
        <v>-1680</v>
      </c>
      <c r="E11" s="1556">
        <f>-('Operating Account'!G14)</f>
        <v>-1680</v>
      </c>
      <c r="F11" s="1556">
        <f>-('Operating Account'!H14)</f>
        <v>-1680</v>
      </c>
      <c r="G11" s="1556">
        <f>-('Operating Account'!I14)</f>
        <v>-1680</v>
      </c>
      <c r="H11" s="1556">
        <f>-('Operating Account'!J14)</f>
        <v>-1680</v>
      </c>
      <c r="I11" s="1556">
        <f>-('Operating Account'!K14)</f>
        <v>-1680</v>
      </c>
      <c r="J11" s="1556">
        <f>-('Operating Account'!L14)</f>
        <v>-1680</v>
      </c>
      <c r="K11" s="1556">
        <f>-('Operating Account'!M14)</f>
        <v>-1680</v>
      </c>
      <c r="L11" s="1556">
        <f>-('Operating Account'!N14)</f>
        <v>-1680</v>
      </c>
      <c r="M11" s="1556">
        <f>-('Operating Account'!O14)</f>
        <v>-1680</v>
      </c>
      <c r="N11" s="1556">
        <f>-('Operating Account'!P14)</f>
        <v>-1680</v>
      </c>
      <c r="O11" s="1556">
        <f>-('Operating Account'!Q14)</f>
        <v>-1680</v>
      </c>
      <c r="P11" s="1556">
        <f>-('Operating Account'!R14)</f>
        <v>-1680</v>
      </c>
      <c r="Q11" s="1556">
        <f>-('Operating Account'!S14)</f>
        <v>-1680</v>
      </c>
      <c r="R11" s="1556">
        <f>-('Operating Account'!T14)</f>
        <v>-1680</v>
      </c>
      <c r="S11" s="1556">
        <f>-('Operating Account'!U14)</f>
        <v>-1680</v>
      </c>
      <c r="T11" s="1556">
        <f>-('Operating Account'!V14)</f>
        <v>-1680</v>
      </c>
      <c r="U11" s="1556">
        <f>-('Operating Account'!W14)</f>
        <v>-1680</v>
      </c>
      <c r="V11" s="1556">
        <f>-('Operating Account'!X14)</f>
        <v>-1680</v>
      </c>
      <c r="W11" s="1556">
        <f>-('Operating Account'!Y14)</f>
        <v>-1680</v>
      </c>
      <c r="X11" s="1556">
        <f>-('Operating Account'!Z14)</f>
        <v>-1680</v>
      </c>
      <c r="Y11" s="1556">
        <f>-('Operating Account'!AA14)</f>
        <v>-1680</v>
      </c>
      <c r="Z11" s="1556">
        <f>-('Operating Account'!AB14)</f>
        <v>-1680</v>
      </c>
      <c r="AA11" s="1556">
        <f>-('Operating Account'!AC14)</f>
        <v>-1680</v>
      </c>
      <c r="AB11" s="1556">
        <f>-('Operating Account'!AD14)</f>
        <v>-1680</v>
      </c>
      <c r="AC11" s="1554">
        <f t="shared" si="0"/>
        <v>-42000</v>
      </c>
    </row>
    <row r="12" spans="2:29" x14ac:dyDescent="0.35">
      <c r="B12" s="1558" t="str">
        <f>VLOOKUP("(-) Ingresos Financeiros",tabIdiomas26[],MATCH('Indiv. Invoices Comparison'!$J$2,tabIdiomas26[#Headers]),FALSE)</f>
        <v>(-) Financial Income</v>
      </c>
      <c r="C12" s="1556"/>
      <c r="D12" s="1556">
        <f>-'Operating Account'!F48</f>
        <v>0</v>
      </c>
      <c r="E12" s="1556">
        <f>-'Operating Account'!G48</f>
        <v>0</v>
      </c>
      <c r="F12" s="1556">
        <f>-'Operating Account'!H48</f>
        <v>0</v>
      </c>
      <c r="G12" s="1556">
        <f>-'Operating Account'!I48</f>
        <v>0</v>
      </c>
      <c r="H12" s="1556">
        <f>-'Operating Account'!J48</f>
        <v>0</v>
      </c>
      <c r="I12" s="1556">
        <f>-'Operating Account'!K48</f>
        <v>0</v>
      </c>
      <c r="J12" s="1556">
        <f>-'Operating Account'!L48</f>
        <v>0</v>
      </c>
      <c r="K12" s="1556">
        <f>-'Operating Account'!M48</f>
        <v>0</v>
      </c>
      <c r="L12" s="1556">
        <f>-'Operating Account'!N48</f>
        <v>0</v>
      </c>
      <c r="M12" s="1556">
        <f>-'Operating Account'!O48</f>
        <v>0</v>
      </c>
      <c r="N12" s="1556">
        <f>-'Operating Account'!P48</f>
        <v>0</v>
      </c>
      <c r="O12" s="1556">
        <f>-'Operating Account'!Q48</f>
        <v>0</v>
      </c>
      <c r="P12" s="1556">
        <f>-'Operating Account'!R48</f>
        <v>0</v>
      </c>
      <c r="Q12" s="1556">
        <f>-'Operating Account'!S48</f>
        <v>0</v>
      </c>
      <c r="R12" s="1556">
        <f>-'Operating Account'!T48</f>
        <v>0</v>
      </c>
      <c r="S12" s="1556">
        <f>-'Operating Account'!U48</f>
        <v>0</v>
      </c>
      <c r="T12" s="1556">
        <f>-'Operating Account'!V48</f>
        <v>0</v>
      </c>
      <c r="U12" s="1556">
        <f>-'Operating Account'!W48</f>
        <v>0</v>
      </c>
      <c r="V12" s="1556">
        <f>-'Operating Account'!X48</f>
        <v>0</v>
      </c>
      <c r="W12" s="1556">
        <f>-'Operating Account'!Y48</f>
        <v>0</v>
      </c>
      <c r="X12" s="1556">
        <f>-'Operating Account'!Z48</f>
        <v>0</v>
      </c>
      <c r="Y12" s="1556">
        <f>-'Operating Account'!AA48</f>
        <v>0</v>
      </c>
      <c r="Z12" s="1556">
        <f>-'Operating Account'!AB48</f>
        <v>0</v>
      </c>
      <c r="AA12" s="1556">
        <f>-'Operating Account'!AC48</f>
        <v>0</v>
      </c>
      <c r="AB12" s="1556">
        <f>-'Operating Account'!AD48</f>
        <v>0</v>
      </c>
      <c r="AC12" s="1554">
        <f t="shared" si="0"/>
        <v>0</v>
      </c>
    </row>
    <row r="13" spans="2:29" x14ac:dyDescent="0.35">
      <c r="B13" s="1796" t="str">
        <f>VLOOKUP("(+) Gastos Financeiros (Intereses da Débeda)",tabIdiomas26[],MATCH('Indiv. Invoices Comparison'!$J$2,tabIdiomas26[#Headers]),FALSE)</f>
        <v>(+) Financial Expenses (Interest on Debt)</v>
      </c>
      <c r="C13" s="1556"/>
      <c r="D13" s="1556">
        <f>'Operating Account'!F49</f>
        <v>0</v>
      </c>
      <c r="E13" s="1556">
        <f>'Operating Account'!G49</f>
        <v>0</v>
      </c>
      <c r="F13" s="1556">
        <f>'Operating Account'!H49</f>
        <v>0</v>
      </c>
      <c r="G13" s="1556">
        <f>'Operating Account'!I49</f>
        <v>0</v>
      </c>
      <c r="H13" s="1556">
        <f>'Operating Account'!J49</f>
        <v>0</v>
      </c>
      <c r="I13" s="1556">
        <f>'Operating Account'!K49</f>
        <v>0</v>
      </c>
      <c r="J13" s="1556">
        <f>'Operating Account'!L49</f>
        <v>0</v>
      </c>
      <c r="K13" s="1556">
        <f>'Operating Account'!M49</f>
        <v>0</v>
      </c>
      <c r="L13" s="1556">
        <f>'Operating Account'!N49</f>
        <v>0</v>
      </c>
      <c r="M13" s="1556">
        <f>'Operating Account'!O49</f>
        <v>0</v>
      </c>
      <c r="N13" s="1556">
        <f>'Operating Account'!P49</f>
        <v>0</v>
      </c>
      <c r="O13" s="1556">
        <f>'Operating Account'!Q49</f>
        <v>0</v>
      </c>
      <c r="P13" s="1556">
        <f>'Operating Account'!R49</f>
        <v>0</v>
      </c>
      <c r="Q13" s="1556">
        <f>'Operating Account'!S49</f>
        <v>0</v>
      </c>
      <c r="R13" s="1556">
        <f>'Operating Account'!T49</f>
        <v>0</v>
      </c>
      <c r="S13" s="1556">
        <f>'Operating Account'!U49</f>
        <v>0</v>
      </c>
      <c r="T13" s="1556">
        <f>'Operating Account'!V49</f>
        <v>0</v>
      </c>
      <c r="U13" s="1556">
        <f>'Operating Account'!W49</f>
        <v>0</v>
      </c>
      <c r="V13" s="1556">
        <f>'Operating Account'!X49</f>
        <v>0</v>
      </c>
      <c r="W13" s="1556">
        <f>'Operating Account'!Y49</f>
        <v>0</v>
      </c>
      <c r="X13" s="1556">
        <f>'Operating Account'!Z49</f>
        <v>0</v>
      </c>
      <c r="Y13" s="1556">
        <f>'Operating Account'!AA49</f>
        <v>0</v>
      </c>
      <c r="Z13" s="1556">
        <f>'Operating Account'!AB49</f>
        <v>0</v>
      </c>
      <c r="AA13" s="1556">
        <f>'Operating Account'!AC49</f>
        <v>0</v>
      </c>
      <c r="AB13" s="1556">
        <f>'Operating Account'!AD49</f>
        <v>0</v>
      </c>
      <c r="AC13" s="1554">
        <f t="shared" si="0"/>
        <v>0</v>
      </c>
    </row>
    <row r="14" spans="2:29" ht="15" thickBot="1" x14ac:dyDescent="0.4">
      <c r="B14" s="1557" t="str">
        <f>VLOOKUP("(-) / (+) Outros Ingresos e Gastos que Non Supoñen Fluxo de Efectivo",tabIdiomas26[],MATCH('Indiv. Invoices Comparison'!$J$2,tabIdiomas26[#Headers]),FALSE)</f>
        <v>(-) / (+) Other Non-Cash Revenues and Expenses</v>
      </c>
      <c r="C14" s="1556"/>
      <c r="D14" s="1556"/>
      <c r="E14" s="1556"/>
      <c r="F14" s="1556"/>
      <c r="G14" s="1556"/>
      <c r="H14" s="1556"/>
      <c r="I14" s="1556"/>
      <c r="J14" s="1556"/>
      <c r="K14" s="1556"/>
      <c r="L14" s="1556"/>
      <c r="M14" s="1556"/>
      <c r="N14" s="1556"/>
      <c r="O14" s="1556"/>
      <c r="P14" s="1556"/>
      <c r="Q14" s="1556"/>
      <c r="R14" s="1556"/>
      <c r="S14" s="1556"/>
      <c r="T14" s="1556"/>
      <c r="U14" s="1556"/>
      <c r="V14" s="1556"/>
      <c r="W14" s="1556"/>
      <c r="X14" s="1556"/>
      <c r="Y14" s="1556"/>
      <c r="Z14" s="1556"/>
      <c r="AA14" s="1556"/>
      <c r="AB14" s="1555"/>
      <c r="AC14" s="1554">
        <f t="shared" si="0"/>
        <v>0</v>
      </c>
    </row>
    <row r="15" spans="2:29" ht="30" thickTop="1" thickBot="1" x14ac:dyDescent="0.4">
      <c r="B15" s="1553" t="str">
        <f>VLOOKUP("(=) Fluxo de Caixa Operativo ou das Actividades de Explotación [A]",tabIdiomas26[],MATCH('Indiv. Invoices Comparison'!$J$2,tabIdiomas26[#Headers]),FALSE)</f>
        <v>(=) Operating Cash Flow or Cash Flow from Operating Activities [A].</v>
      </c>
      <c r="C15" s="1552">
        <f t="shared" ref="C15:AB15" si="1">SUM(C7:C14)</f>
        <v>0</v>
      </c>
      <c r="D15" s="1551">
        <f t="shared" si="1"/>
        <v>5878.2058333333334</v>
      </c>
      <c r="E15" s="1551">
        <f t="shared" si="1"/>
        <v>5785.7964999999995</v>
      </c>
      <c r="F15" s="1551">
        <f t="shared" si="1"/>
        <v>6010.3224056666659</v>
      </c>
      <c r="G15" s="1551">
        <f t="shared" si="1"/>
        <v>6231.3719469089992</v>
      </c>
      <c r="H15" s="1551">
        <f t="shared" si="1"/>
        <v>6459.2743294231768</v>
      </c>
      <c r="I15" s="1551">
        <f t="shared" si="1"/>
        <v>6694.2420010644146</v>
      </c>
      <c r="J15" s="1551">
        <f t="shared" si="1"/>
        <v>6936.4939958842624</v>
      </c>
      <c r="K15" s="1551">
        <f t="shared" si="1"/>
        <v>7186.2561383127031</v>
      </c>
      <c r="L15" s="1551">
        <f t="shared" si="1"/>
        <v>7443.76125367022</v>
      </c>
      <c r="M15" s="1551">
        <f t="shared" si="1"/>
        <v>7709.2493852060561</v>
      </c>
      <c r="N15" s="1551">
        <f t="shared" si="1"/>
        <v>7982.9680178650051</v>
      </c>
      <c r="O15" s="1551">
        <f t="shared" si="1"/>
        <v>8265.1723089913485</v>
      </c>
      <c r="P15" s="1551">
        <f t="shared" si="1"/>
        <v>8556.1253261849251</v>
      </c>
      <c r="Q15" s="1551">
        <f t="shared" si="1"/>
        <v>8856.0982925311782</v>
      </c>
      <c r="R15" s="1551">
        <f t="shared" si="1"/>
        <v>9165.3708394336754</v>
      </c>
      <c r="S15" s="1551">
        <f t="shared" si="1"/>
        <v>9484.2312672848311</v>
      </c>
      <c r="T15" s="1551">
        <f t="shared" si="1"/>
        <v>9812.9768142178946</v>
      </c>
      <c r="U15" s="1551">
        <f t="shared" si="1"/>
        <v>10151.913933190595</v>
      </c>
      <c r="V15" s="1551">
        <f t="shared" si="1"/>
        <v>10501.358577658872</v>
      </c>
      <c r="W15" s="1551">
        <f t="shared" si="1"/>
        <v>10861.636496106925</v>
      </c>
      <c r="X15" s="1551">
        <f t="shared" si="1"/>
        <v>11233.083535708163</v>
      </c>
      <c r="Y15" s="1551">
        <f t="shared" si="1"/>
        <v>11616.045955400146</v>
      </c>
      <c r="Z15" s="1551">
        <f t="shared" si="1"/>
        <v>12010.8807486653</v>
      </c>
      <c r="AA15" s="1551">
        <f t="shared" si="1"/>
        <v>12417.955976318404</v>
      </c>
      <c r="AB15" s="1550">
        <f t="shared" si="1"/>
        <v>12221.999784894886</v>
      </c>
      <c r="AC15" s="1549">
        <f t="shared" si="0"/>
        <v>219472.79166392199</v>
      </c>
    </row>
    <row r="16" spans="2:29" ht="15.5" thickTop="1" thickBot="1" x14ac:dyDescent="0.4">
      <c r="B16" s="1797" t="str">
        <f>VLOOKUP("Fluxo de Caixa das Actividades de Investimento",tabIdiomas26[],MATCH('Indiv. Invoices Comparison'!$J$2,tabIdiomas26[#Headers]),FALSE)</f>
        <v>Cash Flow from Investing Activities</v>
      </c>
      <c r="C16" s="1548"/>
      <c r="D16" s="1547"/>
      <c r="E16" s="1547"/>
      <c r="F16" s="1547"/>
      <c r="G16" s="1547"/>
      <c r="H16" s="1547"/>
      <c r="I16" s="1547"/>
      <c r="J16" s="1547"/>
      <c r="K16" s="1547"/>
      <c r="L16" s="1547"/>
      <c r="M16" s="1547"/>
      <c r="N16" s="1547"/>
      <c r="O16" s="1547"/>
      <c r="P16" s="1547"/>
      <c r="Q16" s="1547"/>
      <c r="R16" s="1547"/>
      <c r="S16" s="1547"/>
      <c r="T16" s="1547"/>
      <c r="U16" s="1547"/>
      <c r="V16" s="1547"/>
      <c r="W16" s="1547"/>
      <c r="X16" s="1547"/>
      <c r="Y16" s="1547"/>
      <c r="Z16" s="1547"/>
      <c r="AA16" s="1547"/>
      <c r="AB16" s="1547"/>
      <c r="AC16" s="1546"/>
    </row>
    <row r="17" spans="2:29" x14ac:dyDescent="0.35">
      <c r="B17" s="1545" t="str">
        <f>VLOOKUP("(-) Pagos por Inversións Efectuadas",tabIdiomas26[],MATCH('Indiv. Invoices Comparison'!$J$2,tabIdiomas26[#Headers]),FALSE)</f>
        <v>(-) Investment Payments Made</v>
      </c>
      <c r="C17" s="1542">
        <f>-('Hipóteses xerais (2)'!$C$21)</f>
        <v>-70150</v>
      </c>
      <c r="D17" s="1542"/>
      <c r="E17" s="1542"/>
      <c r="F17" s="1542"/>
      <c r="G17" s="1542"/>
      <c r="H17" s="1542"/>
      <c r="I17" s="1542"/>
      <c r="J17" s="1542"/>
      <c r="K17" s="1542"/>
      <c r="L17" s="1542"/>
      <c r="M17" s="1798"/>
      <c r="N17" s="1542"/>
      <c r="O17" s="1542"/>
      <c r="P17" s="1542"/>
      <c r="Q17" s="1542"/>
      <c r="R17" s="1542">
        <f>-'Hipóteses xerais (2)'!$C$76</f>
        <v>-14000</v>
      </c>
      <c r="S17" s="1542"/>
      <c r="T17" s="1542"/>
      <c r="U17" s="1542"/>
      <c r="V17" s="1542"/>
      <c r="W17" s="1542"/>
      <c r="X17" s="1542"/>
      <c r="Y17" s="1542"/>
      <c r="Z17" s="1542"/>
      <c r="AA17" s="1542"/>
      <c r="AB17" s="1542"/>
      <c r="AC17" s="1544">
        <f>SUM(C17:AB17)</f>
        <v>-84150</v>
      </c>
    </row>
    <row r="18" spans="2:29" ht="15" thickBot="1" x14ac:dyDescent="0.4">
      <c r="B18" s="1543" t="str">
        <f>VLOOKUP("(+) Cobros por Desinversións Efectuadas",tabIdiomas26[],MATCH('Indiv. Invoices Comparison'!$J$2,tabIdiomas26[#Headers]),FALSE)</f>
        <v>(+) Proceeds from Divestitures Made</v>
      </c>
      <c r="C18" s="1542"/>
      <c r="D18" s="1542"/>
      <c r="E18" s="1542"/>
      <c r="F18" s="1542"/>
      <c r="G18" s="1542"/>
      <c r="H18" s="1542"/>
      <c r="I18" s="1542"/>
      <c r="J18" s="1542"/>
      <c r="K18" s="1542"/>
      <c r="L18" s="1542"/>
      <c r="M18" s="1542"/>
      <c r="N18" s="1542"/>
      <c r="O18" s="1542"/>
      <c r="P18" s="1542"/>
      <c r="Q18" s="1542"/>
      <c r="R18" s="1542"/>
      <c r="S18" s="1542"/>
      <c r="T18" s="1542"/>
      <c r="U18" s="1542"/>
      <c r="V18" s="1542"/>
      <c r="W18" s="1542"/>
      <c r="X18" s="1542"/>
      <c r="Y18" s="1542"/>
      <c r="Z18" s="1542"/>
      <c r="AA18" s="1542"/>
      <c r="AB18" s="1542"/>
      <c r="AC18" s="1541">
        <f>SUM(C18:AB18)</f>
        <v>0</v>
      </c>
    </row>
    <row r="19" spans="2:29" ht="15" thickBot="1" x14ac:dyDescent="0.4">
      <c r="B19" s="1540" t="str">
        <f>VLOOKUP("(=) Fluxo de Caixa das Actividades de Investimento [B]",tabIdiomas26[],MATCH('Indiv. Invoices Comparison'!$J$2,tabIdiomas26[#Headers]),FALSE)</f>
        <v>(=) Cash Flow from Investing Activities [B]</v>
      </c>
      <c r="C19" s="1539">
        <f t="shared" ref="C19:AB19" si="2">SUM(C17:C18)</f>
        <v>-70150</v>
      </c>
      <c r="D19" s="1539">
        <f t="shared" si="2"/>
        <v>0</v>
      </c>
      <c r="E19" s="1539">
        <f t="shared" si="2"/>
        <v>0</v>
      </c>
      <c r="F19" s="1539">
        <f t="shared" si="2"/>
        <v>0</v>
      </c>
      <c r="G19" s="1539">
        <f t="shared" si="2"/>
        <v>0</v>
      </c>
      <c r="H19" s="1539">
        <f t="shared" si="2"/>
        <v>0</v>
      </c>
      <c r="I19" s="1539">
        <f t="shared" si="2"/>
        <v>0</v>
      </c>
      <c r="J19" s="1539">
        <f t="shared" si="2"/>
        <v>0</v>
      </c>
      <c r="K19" s="1539">
        <f t="shared" si="2"/>
        <v>0</v>
      </c>
      <c r="L19" s="1539">
        <f t="shared" si="2"/>
        <v>0</v>
      </c>
      <c r="M19" s="1539">
        <f t="shared" si="2"/>
        <v>0</v>
      </c>
      <c r="N19" s="1539">
        <f t="shared" si="2"/>
        <v>0</v>
      </c>
      <c r="O19" s="1539">
        <f t="shared" si="2"/>
        <v>0</v>
      </c>
      <c r="P19" s="1539">
        <f t="shared" si="2"/>
        <v>0</v>
      </c>
      <c r="Q19" s="1539">
        <f t="shared" si="2"/>
        <v>0</v>
      </c>
      <c r="R19" s="1539">
        <f t="shared" si="2"/>
        <v>-14000</v>
      </c>
      <c r="S19" s="1539">
        <f t="shared" si="2"/>
        <v>0</v>
      </c>
      <c r="T19" s="1539">
        <f t="shared" si="2"/>
        <v>0</v>
      </c>
      <c r="U19" s="1539">
        <f t="shared" si="2"/>
        <v>0</v>
      </c>
      <c r="V19" s="1539">
        <f t="shared" si="2"/>
        <v>0</v>
      </c>
      <c r="W19" s="1539">
        <f t="shared" si="2"/>
        <v>0</v>
      </c>
      <c r="X19" s="1539">
        <f t="shared" si="2"/>
        <v>0</v>
      </c>
      <c r="Y19" s="1539">
        <f t="shared" si="2"/>
        <v>0</v>
      </c>
      <c r="Z19" s="1539">
        <f t="shared" si="2"/>
        <v>0</v>
      </c>
      <c r="AA19" s="1539">
        <f t="shared" si="2"/>
        <v>0</v>
      </c>
      <c r="AB19" s="1539">
        <f t="shared" si="2"/>
        <v>0</v>
      </c>
      <c r="AC19" s="1538">
        <f>SUM(C19:AB19)</f>
        <v>-84150</v>
      </c>
    </row>
    <row r="20" spans="2:29" ht="29.5" thickBot="1" x14ac:dyDescent="0.4">
      <c r="B20" s="1537" t="str">
        <f>VLOOKUP("Fluxo de Caixa das Actividades de Financiamento (Recursos Propios e Débeda)",tabIdiomas26[],MATCH('Indiv. Invoices Comparison'!$J$2,tabIdiomas26[#Headers]),FALSE)</f>
        <v>Cash Flow from Financing Activities (Shareholders' Equity and Debt)</v>
      </c>
      <c r="C20" s="983"/>
      <c r="D20" s="983"/>
      <c r="E20" s="983"/>
      <c r="F20" s="983"/>
      <c r="G20" s="983"/>
      <c r="H20" s="983"/>
      <c r="I20" s="983"/>
      <c r="J20" s="983"/>
      <c r="K20" s="983"/>
      <c r="L20" s="983"/>
      <c r="M20" s="983"/>
      <c r="N20" s="983"/>
      <c r="O20" s="983"/>
      <c r="P20" s="983"/>
      <c r="Q20" s="983"/>
      <c r="R20" s="983"/>
      <c r="S20" s="983"/>
      <c r="T20" s="983"/>
      <c r="U20" s="983"/>
      <c r="V20" s="983"/>
      <c r="W20" s="983"/>
      <c r="X20" s="983"/>
      <c r="Y20" s="983"/>
      <c r="Z20" s="983"/>
      <c r="AA20" s="983"/>
      <c r="AB20" s="983"/>
      <c r="AC20" s="1532"/>
    </row>
    <row r="21" spans="2:29" x14ac:dyDescent="0.35">
      <c r="B21" s="988" t="str">
        <f>VLOOKUP("(+) Emisión de Instrumentos de Patrimonio (Accións ou Participacións)",tabIdiomas26[],MATCH('Indiv. Invoices Comparison'!$J$2,tabIdiomas26[#Headers]),FALSE)</f>
        <v>(+) Issuance of Equity Instruments (Shares or Participations)</v>
      </c>
      <c r="C21" s="1534">
        <f>'Hipóteses xerais (2)'!$F$35</f>
        <v>70150</v>
      </c>
      <c r="D21" s="1534"/>
      <c r="E21" s="1534"/>
      <c r="F21" s="1534"/>
      <c r="G21" s="1534"/>
      <c r="H21" s="1534"/>
      <c r="I21" s="1534"/>
      <c r="J21" s="1534"/>
      <c r="K21" s="1534"/>
      <c r="L21" s="1534"/>
      <c r="M21" s="1534"/>
      <c r="N21" s="1534"/>
      <c r="O21" s="1534"/>
      <c r="P21" s="1534"/>
      <c r="Q21" s="1534"/>
      <c r="R21" s="1534"/>
      <c r="S21" s="1534"/>
      <c r="T21" s="1534"/>
      <c r="U21" s="1534"/>
      <c r="V21" s="1534"/>
      <c r="W21" s="1534"/>
      <c r="X21" s="1534"/>
      <c r="Y21" s="1534"/>
      <c r="Z21" s="1534"/>
      <c r="AA21" s="1534"/>
      <c r="AB21" s="1534"/>
      <c r="AC21" s="1533">
        <f t="shared" ref="AC21:AC30" si="3">SUM(C21:AB21)</f>
        <v>70150</v>
      </c>
    </row>
    <row r="22" spans="2:29" x14ac:dyDescent="0.35">
      <c r="B22" s="1536" t="str">
        <f>VLOOKUP("(-) Amortización de Instrumentos de Patrimonio (Accións ou Participacións)",tabIdiomas26[],MATCH('Indiv. Invoices Comparison'!$J$2,tabIdiomas26[#Headers]),FALSE)</f>
        <v>(-) Amortization of Equity Instruments (Shares or Participations)</v>
      </c>
      <c r="C22" s="1534"/>
      <c r="D22" s="1534"/>
      <c r="E22" s="1534"/>
      <c r="F22" s="1534"/>
      <c r="G22" s="1534"/>
      <c r="H22" s="1534"/>
      <c r="I22" s="1534"/>
      <c r="J22" s="1534"/>
      <c r="K22" s="1534"/>
      <c r="L22" s="1534"/>
      <c r="M22" s="1534"/>
      <c r="N22" s="1534"/>
      <c r="O22" s="1534"/>
      <c r="P22" s="1534"/>
      <c r="Q22" s="1534"/>
      <c r="R22" s="1534"/>
      <c r="S22" s="1534"/>
      <c r="T22" s="1534"/>
      <c r="U22" s="1534"/>
      <c r="V22" s="1534"/>
      <c r="W22" s="1534"/>
      <c r="X22" s="1534"/>
      <c r="Y22" s="1534"/>
      <c r="Z22" s="1534"/>
      <c r="AA22" s="1534"/>
      <c r="AB22" s="1534"/>
      <c r="AC22" s="1533">
        <f t="shared" si="3"/>
        <v>0</v>
      </c>
    </row>
    <row r="23" spans="2:29" x14ac:dyDescent="0.35">
      <c r="B23" s="1536" t="str">
        <f>VLOOKUP("(+) Subvencións Recibidas",tabIdiomas26[],MATCH('Indiv. Invoices Comparison'!$J$2,tabIdiomas26[#Headers]),FALSE)</f>
        <v>(+) Grants Received</v>
      </c>
      <c r="C23" s="1534"/>
      <c r="D23" s="1534">
        <f>'Hipóteses xerais (2)'!$C$62</f>
        <v>42000</v>
      </c>
      <c r="E23" s="1534"/>
      <c r="F23" s="1534"/>
      <c r="G23" s="1534"/>
      <c r="H23" s="1534"/>
      <c r="I23" s="1534"/>
      <c r="J23" s="1534"/>
      <c r="K23" s="1534"/>
      <c r="L23" s="1534"/>
      <c r="M23" s="1534"/>
      <c r="N23" s="1534"/>
      <c r="O23" s="1534"/>
      <c r="P23" s="1534"/>
      <c r="Q23" s="1534"/>
      <c r="R23" s="1534"/>
      <c r="S23" s="1534"/>
      <c r="T23" s="1534"/>
      <c r="U23" s="1534"/>
      <c r="V23" s="1534"/>
      <c r="W23" s="1534"/>
      <c r="X23" s="1534"/>
      <c r="Y23" s="1534"/>
      <c r="Z23" s="1534"/>
      <c r="AA23" s="1534"/>
      <c r="AB23" s="1534"/>
      <c r="AC23" s="1533">
        <f t="shared" si="3"/>
        <v>42000</v>
      </c>
    </row>
    <row r="24" spans="2:29" x14ac:dyDescent="0.35">
      <c r="B24" s="1536" t="str">
        <f>VLOOKUP("(+) Concesión de Préstamo",tabIdiomas26[],MATCH('Indiv. Invoices Comparison'!$J$2,tabIdiomas26[#Headers]),FALSE)</f>
        <v>(+) Loan Concession</v>
      </c>
      <c r="C24" s="1534">
        <f>'Hipóteses xerais (2)'!$F$12</f>
        <v>0</v>
      </c>
      <c r="D24" s="1534"/>
      <c r="E24" s="1534"/>
      <c r="F24" s="1534"/>
      <c r="G24" s="1534"/>
      <c r="H24" s="1534"/>
      <c r="I24" s="1534"/>
      <c r="J24" s="1534"/>
      <c r="K24" s="1534"/>
      <c r="L24" s="1534"/>
      <c r="M24" s="1534"/>
      <c r="N24" s="1534"/>
      <c r="O24" s="1534"/>
      <c r="P24" s="1534"/>
      <c r="Q24" s="1534"/>
      <c r="R24" s="1534"/>
      <c r="S24" s="1534"/>
      <c r="T24" s="1534"/>
      <c r="U24" s="1534"/>
      <c r="V24" s="1534"/>
      <c r="W24" s="1534"/>
      <c r="X24" s="1534"/>
      <c r="Y24" s="1534"/>
      <c r="Z24" s="1534"/>
      <c r="AA24" s="1534"/>
      <c r="AB24" s="1534"/>
      <c r="AC24" s="1533">
        <f t="shared" si="3"/>
        <v>0</v>
      </c>
    </row>
    <row r="25" spans="2:29" x14ac:dyDescent="0.35">
      <c r="B25" s="1536" t="str">
        <f>VLOOKUP("(-) Amortización de préstamo",tabIdiomas26[],MATCH('Indiv. Invoices Comparison'!$J$2,tabIdiomas26[#Headers]),FALSE)</f>
        <v>(-) Loan amortization</v>
      </c>
      <c r="C25" s="1799"/>
      <c r="D25" s="1800">
        <f>-INDEX('x Financiamento'!$D$12:$D$26,'Cash Flow Statement'!D4)</f>
        <v>0</v>
      </c>
      <c r="E25" s="1800">
        <f>-INDEX('x Financiamento'!$D$12:$D$26,'Cash Flow Statement'!E4)</f>
        <v>0</v>
      </c>
      <c r="F25" s="1800">
        <f>-INDEX('x Financiamento'!$D$12:$D$26,'Cash Flow Statement'!F4)</f>
        <v>0</v>
      </c>
      <c r="G25" s="1800">
        <f>-INDEX('x Financiamento'!$D$12:$D$26,'Cash Flow Statement'!G4)</f>
        <v>0</v>
      </c>
      <c r="H25" s="1800">
        <f>-INDEX('x Financiamento'!$D$12:$D$26,'Cash Flow Statement'!H4)</f>
        <v>0</v>
      </c>
      <c r="I25" s="1800">
        <f>-INDEX('x Financiamento'!$D$12:$D$26,'Cash Flow Statement'!I4)</f>
        <v>0</v>
      </c>
      <c r="J25" s="1800">
        <f>-INDEX('x Financiamento'!$D$12:$D$26,'Cash Flow Statement'!J4)</f>
        <v>0</v>
      </c>
      <c r="K25" s="1800">
        <f>-INDEX('x Financiamento'!$D$12:$D$26,'Cash Flow Statement'!K4)</f>
        <v>0</v>
      </c>
      <c r="L25" s="1800">
        <f>-INDEX('x Financiamento'!$D$12:$D$26,'Cash Flow Statement'!L4)</f>
        <v>0</v>
      </c>
      <c r="M25" s="1800">
        <f>-INDEX('x Financiamento'!$D$12:$D$26,'Cash Flow Statement'!M4)</f>
        <v>0</v>
      </c>
      <c r="N25" s="1800">
        <f>-INDEX('x Financiamento'!$D$12:$D$26,'Cash Flow Statement'!N4)</f>
        <v>0</v>
      </c>
      <c r="O25" s="1800">
        <f>-INDEX('x Financiamento'!$D$12:$D$26,'Cash Flow Statement'!O4)</f>
        <v>0</v>
      </c>
      <c r="P25" s="1800">
        <f>-INDEX('x Financiamento'!$D$12:$D$26,'Cash Flow Statement'!P4)</f>
        <v>0</v>
      </c>
      <c r="Q25" s="1800">
        <f>-INDEX('x Financiamento'!$D$12:$D$26,'Cash Flow Statement'!Q4)</f>
        <v>0</v>
      </c>
      <c r="R25" s="1800">
        <f>-INDEX('x Financiamento'!$D$12:$D$26,'Cash Flow Statement'!R4)</f>
        <v>0</v>
      </c>
      <c r="S25" s="1799">
        <v>0</v>
      </c>
      <c r="T25" s="1799">
        <v>0</v>
      </c>
      <c r="U25" s="1799">
        <v>0</v>
      </c>
      <c r="V25" s="1799">
        <v>0</v>
      </c>
      <c r="W25" s="1799">
        <v>0</v>
      </c>
      <c r="X25" s="1799">
        <v>0</v>
      </c>
      <c r="Y25" s="1799">
        <v>0</v>
      </c>
      <c r="Z25" s="1799">
        <v>0</v>
      </c>
      <c r="AA25" s="1799">
        <v>0</v>
      </c>
      <c r="AB25" s="1799">
        <v>0</v>
      </c>
      <c r="AC25" s="1801">
        <f t="shared" si="3"/>
        <v>0</v>
      </c>
    </row>
    <row r="26" spans="2:29" x14ac:dyDescent="0.35">
      <c r="B26" s="1536" t="str">
        <f>VLOOKUP("(-) Pagos por Remuneración de Débeda (Intereses Préstamo)",tabIdiomas26[],MATCH('Indiv. Invoices Comparison'!$J$2,tabIdiomas26[#Headers]),FALSE)</f>
        <v>(-) Debt Remuneration Payments (Loan Interest)</v>
      </c>
      <c r="C26" s="1534"/>
      <c r="D26" s="1535">
        <f>-'Operating Account'!F49</f>
        <v>0</v>
      </c>
      <c r="E26" s="1535">
        <f>-'Operating Account'!G49</f>
        <v>0</v>
      </c>
      <c r="F26" s="1535">
        <f>-'Operating Account'!H49</f>
        <v>0</v>
      </c>
      <c r="G26" s="1535">
        <f>-'Operating Account'!I49</f>
        <v>0</v>
      </c>
      <c r="H26" s="1535">
        <f>-'Operating Account'!J49</f>
        <v>0</v>
      </c>
      <c r="I26" s="1535">
        <f>-'Operating Account'!K49</f>
        <v>0</v>
      </c>
      <c r="J26" s="1535">
        <f>-'Operating Account'!L49</f>
        <v>0</v>
      </c>
      <c r="K26" s="1535">
        <f>-'Operating Account'!M49</f>
        <v>0</v>
      </c>
      <c r="L26" s="1535">
        <f>-'Operating Account'!N49</f>
        <v>0</v>
      </c>
      <c r="M26" s="1535">
        <f>-'Operating Account'!O49</f>
        <v>0</v>
      </c>
      <c r="N26" s="1535">
        <f>-'Operating Account'!P49</f>
        <v>0</v>
      </c>
      <c r="O26" s="1535">
        <f>-'Operating Account'!Q49</f>
        <v>0</v>
      </c>
      <c r="P26" s="1535">
        <f>-'Operating Account'!R49</f>
        <v>0</v>
      </c>
      <c r="Q26" s="1535">
        <f>-'Operating Account'!S49</f>
        <v>0</v>
      </c>
      <c r="R26" s="1535">
        <f>-'Operating Account'!T49</f>
        <v>0</v>
      </c>
      <c r="S26" s="1535">
        <f>-'Operating Account'!U49</f>
        <v>0</v>
      </c>
      <c r="T26" s="1535">
        <f>-'Operating Account'!V49</f>
        <v>0</v>
      </c>
      <c r="U26" s="1535">
        <f>-'Operating Account'!W49</f>
        <v>0</v>
      </c>
      <c r="V26" s="1535">
        <f>-'Operating Account'!X49</f>
        <v>0</v>
      </c>
      <c r="W26" s="1535">
        <f>-'Operating Account'!Y49</f>
        <v>0</v>
      </c>
      <c r="X26" s="1535">
        <f>-'Operating Account'!Z49</f>
        <v>0</v>
      </c>
      <c r="Y26" s="1535">
        <f>-'Operating Account'!AA49</f>
        <v>0</v>
      </c>
      <c r="Z26" s="1535">
        <f>-'Operating Account'!AB49</f>
        <v>0</v>
      </c>
      <c r="AA26" s="1535">
        <f>-'Operating Account'!AC49</f>
        <v>0</v>
      </c>
      <c r="AB26" s="1535">
        <f>-'Operating Account'!AD49</f>
        <v>0</v>
      </c>
      <c r="AC26" s="1533">
        <f t="shared" si="3"/>
        <v>0</v>
      </c>
    </row>
    <row r="27" spans="2:29" ht="15" thickBot="1" x14ac:dyDescent="0.4">
      <c r="B27" s="986" t="str">
        <f>VLOOKUP("(-) Pagos por Remuneración de Instrumentos de Patrimonio (Dividendos)",tabIdiomas26[],MATCH('Indiv. Invoices Comparison'!$J$2,tabIdiomas26[#Headers]),FALSE)</f>
        <v>(-) Remuneration Payments for Equity Instruments (Dividends)</v>
      </c>
      <c r="C27" s="1534"/>
      <c r="D27" s="1534">
        <f>IF('Hipóteses Xerais'!$B$34="Si",(-('Operating Account'!F6+'Operating Account'!F7)),0)</f>
        <v>-6699</v>
      </c>
      <c r="E27" s="1534">
        <f>IF('Hipóteses Xerais'!$B$34="Si",(-('Operating Account'!G6+'Operating Account'!G7)),0)</f>
        <v>-6906.6689999999999</v>
      </c>
      <c r="F27" s="1534">
        <f>IF('Hipóteses Xerais'!$B$34="Si",(-('Operating Account'!H6+'Operating Account'!H7)),0)</f>
        <v>-7120.7757389999988</v>
      </c>
      <c r="G27" s="1534">
        <f>IF('Hipóteses Xerais'!$B$34="Si",(-('Operating Account'!I6+'Operating Account'!I7)),0)</f>
        <v>-7341.519786908998</v>
      </c>
      <c r="H27" s="1534">
        <f>IF('Hipóteses Xerais'!$B$34="Si",(-('Operating Account'!J6+'Operating Account'!J7)),0)</f>
        <v>-7569.1069003031753</v>
      </c>
      <c r="I27" s="1534">
        <f>IF('Hipóteses Xerais'!$B$34="Si",(-('Operating Account'!K6+'Operating Account'!K7)),0)</f>
        <v>-7803.7492142125739</v>
      </c>
      <c r="J27" s="1534">
        <f>IF('Hipóteses Xerais'!$B$34="Si",(-('Operating Account'!L6+'Operating Account'!L7)),0)</f>
        <v>-8045.6654398531628</v>
      </c>
      <c r="K27" s="1534">
        <f>IF('Hipóteses Xerais'!$B$34="Si",(-('Operating Account'!M6+'Operating Account'!M7)),0)</f>
        <v>-8295.0810684886092</v>
      </c>
      <c r="L27" s="1534">
        <f>IF('Hipóteses Xerais'!$B$34="Si",(-('Operating Account'!N6+'Operating Account'!N7)),0)</f>
        <v>-8552.2285816117565</v>
      </c>
      <c r="M27" s="1534">
        <f>IF('Hipóteses Xerais'!$B$34="Si",(-('Operating Account'!O6+'Operating Account'!O7)),0)</f>
        <v>-8817.3476676417195</v>
      </c>
      <c r="N27" s="1534">
        <f>IF('Hipóteses Xerais'!$B$34="Si",(-('Operating Account'!P6+'Operating Account'!P7)),0)</f>
        <v>-9090.6854453386131</v>
      </c>
      <c r="O27" s="1534">
        <f>IF('Hipóteses Xerais'!$B$34="Si",(-('Operating Account'!Q6+'Operating Account'!Q7)),0)</f>
        <v>-9372.4966941441089</v>
      </c>
      <c r="P27" s="1534">
        <f>IF('Hipóteses Xerais'!$B$34="Si",(-('Operating Account'!R6+'Operating Account'!R7)),0)</f>
        <v>-9663.0440916625757</v>
      </c>
      <c r="Q27" s="1534">
        <f>IF('Hipóteses Xerais'!$B$34="Si",(-('Operating Account'!S6+'Operating Account'!S7)),0)</f>
        <v>-9962.5984585041151</v>
      </c>
      <c r="R27" s="1534">
        <f>IF('Hipóteses Xerais'!$B$34="Si",(-('Operating Account'!T6+'Operating Account'!T7)),0)</f>
        <v>-10271.439010717741</v>
      </c>
      <c r="S27" s="1534">
        <f>IF('Hipóteses Xerais'!$B$34="Si",(-('Operating Account'!U6+'Operating Account'!U7)),0)</f>
        <v>-10589.853620049989</v>
      </c>
      <c r="T27" s="1534">
        <f>IF('Hipóteses Xerais'!$B$34="Si",(-('Operating Account'!V6+'Operating Account'!V7)),0)</f>
        <v>-10918.139082271538</v>
      </c>
      <c r="U27" s="1534">
        <f>IF('Hipóteses Xerais'!$B$34="Si",(-('Operating Account'!W6+'Operating Account'!W7)),0)</f>
        <v>-11256.601393821955</v>
      </c>
      <c r="V27" s="1534">
        <f>IF('Hipóteses Xerais'!$B$34="Si",(-('Operating Account'!X6+'Operating Account'!X7)),0)</f>
        <v>-11605.556037030434</v>
      </c>
      <c r="W27" s="1534">
        <f>IF('Hipóteses Xerais'!$B$34="Si",(-('Operating Account'!Y6+'Operating Account'!Y7)),0)</f>
        <v>-11965.328274178377</v>
      </c>
      <c r="X27" s="1534">
        <f>IF('Hipóteses Xerais'!$B$34="Si",(-('Operating Account'!Z6+'Operating Account'!Z7)),0)</f>
        <v>-12336.253450677905</v>
      </c>
      <c r="Y27" s="1534">
        <f>IF('Hipóteses Xerais'!$B$34="Si",(-('Operating Account'!AA6+'Operating Account'!AA7)),0)</f>
        <v>-12718.677307648919</v>
      </c>
      <c r="Z27" s="1534">
        <f>IF('Hipóteses Xerais'!$B$34="Si",(-('Operating Account'!AB6+'Operating Account'!AB7)),0)</f>
        <v>-13112.956304186035</v>
      </c>
      <c r="AA27" s="1534">
        <f>IF('Hipóteses Xerais'!$B$34="Si",(-('Operating Account'!AC6+'Operating Account'!AC7)),0)</f>
        <v>-13519.4579496158</v>
      </c>
      <c r="AB27" s="1534">
        <f>IF('Hipóteses Xerais'!$B$34="Si",(-('Operating Account'!AD6+'Operating Account'!AD7)),0)</f>
        <v>-13938.561146053889</v>
      </c>
      <c r="AC27" s="1533">
        <f t="shared" si="3"/>
        <v>-247472.79166392199</v>
      </c>
    </row>
    <row r="28" spans="2:29" ht="15" thickBot="1" x14ac:dyDescent="0.4">
      <c r="B28" s="984" t="str">
        <f>VLOOKUP("(=) Fluxo de Caixa das Actividades de Financiamento (Recursos Propios e Débeda) [C]",tabIdiomas26[],MATCH('Indiv. Invoices Comparison'!$J$2,tabIdiomas26[#Headers]),FALSE)</f>
        <v>(=) Cash Flow from Financing Activities (Equity and Debt) [C]</v>
      </c>
      <c r="C28" s="983">
        <f t="shared" ref="C28:AB28" si="4">SUM(C21:C27)</f>
        <v>70150</v>
      </c>
      <c r="D28" s="983">
        <f t="shared" si="4"/>
        <v>35301</v>
      </c>
      <c r="E28" s="983">
        <f t="shared" si="4"/>
        <v>-6906.6689999999999</v>
      </c>
      <c r="F28" s="983">
        <f t="shared" si="4"/>
        <v>-7120.7757389999988</v>
      </c>
      <c r="G28" s="983">
        <f t="shared" si="4"/>
        <v>-7341.519786908998</v>
      </c>
      <c r="H28" s="983">
        <f t="shared" si="4"/>
        <v>-7569.1069003031753</v>
      </c>
      <c r="I28" s="983">
        <f t="shared" si="4"/>
        <v>-7803.7492142125739</v>
      </c>
      <c r="J28" s="983">
        <f t="shared" si="4"/>
        <v>-8045.6654398531628</v>
      </c>
      <c r="K28" s="983">
        <f t="shared" si="4"/>
        <v>-8295.0810684886092</v>
      </c>
      <c r="L28" s="983">
        <f t="shared" si="4"/>
        <v>-8552.2285816117565</v>
      </c>
      <c r="M28" s="983">
        <f t="shared" si="4"/>
        <v>-8817.3476676417195</v>
      </c>
      <c r="N28" s="983">
        <f t="shared" si="4"/>
        <v>-9090.6854453386131</v>
      </c>
      <c r="O28" s="983">
        <f t="shared" si="4"/>
        <v>-9372.4966941441089</v>
      </c>
      <c r="P28" s="983">
        <f t="shared" si="4"/>
        <v>-9663.0440916625757</v>
      </c>
      <c r="Q28" s="983">
        <f t="shared" si="4"/>
        <v>-9962.5984585041151</v>
      </c>
      <c r="R28" s="983">
        <f t="shared" si="4"/>
        <v>-10271.439010717741</v>
      </c>
      <c r="S28" s="983">
        <f t="shared" si="4"/>
        <v>-10589.853620049989</v>
      </c>
      <c r="T28" s="983">
        <f t="shared" si="4"/>
        <v>-10918.139082271538</v>
      </c>
      <c r="U28" s="983">
        <f t="shared" si="4"/>
        <v>-11256.601393821955</v>
      </c>
      <c r="V28" s="983">
        <f t="shared" si="4"/>
        <v>-11605.556037030434</v>
      </c>
      <c r="W28" s="983">
        <f t="shared" si="4"/>
        <v>-11965.328274178377</v>
      </c>
      <c r="X28" s="983">
        <f t="shared" si="4"/>
        <v>-12336.253450677905</v>
      </c>
      <c r="Y28" s="983">
        <f t="shared" si="4"/>
        <v>-12718.677307648919</v>
      </c>
      <c r="Z28" s="983">
        <f t="shared" si="4"/>
        <v>-13112.956304186035</v>
      </c>
      <c r="AA28" s="983">
        <f t="shared" si="4"/>
        <v>-13519.4579496158</v>
      </c>
      <c r="AB28" s="983">
        <f t="shared" si="4"/>
        <v>-13938.561146053889</v>
      </c>
      <c r="AC28" s="1532">
        <f t="shared" si="3"/>
        <v>-135322.79166392199</v>
      </c>
    </row>
    <row r="29" spans="2:29" ht="15" thickBot="1" x14ac:dyDescent="0.4">
      <c r="B29" s="967" t="str">
        <f>VLOOKUP("Cash Flow Libre [A+B+C]",tabIdiomas26[],MATCH('Indiv. Invoices Comparison'!$J$2,tabIdiomas26[#Headers]),FALSE)</f>
        <v>Free Cash Flow [A+B+C]</v>
      </c>
      <c r="C29" s="966">
        <f t="shared" ref="C29:AB29" si="5">C30+C28</f>
        <v>0</v>
      </c>
      <c r="D29" s="966">
        <f t="shared" si="5"/>
        <v>41179.205833333333</v>
      </c>
      <c r="E29" s="966">
        <f t="shared" si="5"/>
        <v>-1120.8725000000004</v>
      </c>
      <c r="F29" s="966">
        <f t="shared" si="5"/>
        <v>-1110.4533333333329</v>
      </c>
      <c r="G29" s="966">
        <f t="shared" si="5"/>
        <v>-1110.1478399999987</v>
      </c>
      <c r="H29" s="966">
        <f t="shared" si="5"/>
        <v>-1109.8325708799985</v>
      </c>
      <c r="I29" s="966">
        <f t="shared" si="5"/>
        <v>-1109.5072131481593</v>
      </c>
      <c r="J29" s="966">
        <f t="shared" si="5"/>
        <v>-1109.1714439689003</v>
      </c>
      <c r="K29" s="966">
        <f t="shared" si="5"/>
        <v>-1108.824930175906</v>
      </c>
      <c r="L29" s="966">
        <f t="shared" si="5"/>
        <v>-1108.4673279415365</v>
      </c>
      <c r="M29" s="966">
        <f t="shared" si="5"/>
        <v>-1108.0982824356634</v>
      </c>
      <c r="N29" s="966">
        <f t="shared" si="5"/>
        <v>-1107.717427473608</v>
      </c>
      <c r="O29" s="966">
        <f t="shared" si="5"/>
        <v>-1107.3243851527604</v>
      </c>
      <c r="P29" s="966">
        <f t="shared" si="5"/>
        <v>-1106.9187654776506</v>
      </c>
      <c r="Q29" s="966">
        <f t="shared" si="5"/>
        <v>-1106.5001659729369</v>
      </c>
      <c r="R29" s="966">
        <f t="shared" si="5"/>
        <v>-15106.068171284065</v>
      </c>
      <c r="S29" s="966">
        <f t="shared" si="5"/>
        <v>-1105.6223527651582</v>
      </c>
      <c r="T29" s="966">
        <f t="shared" si="5"/>
        <v>-1105.1622680536439</v>
      </c>
      <c r="U29" s="966">
        <f t="shared" si="5"/>
        <v>-1104.6874606313595</v>
      </c>
      <c r="V29" s="966">
        <f t="shared" si="5"/>
        <v>-1104.1974593715622</v>
      </c>
      <c r="W29" s="966">
        <f t="shared" si="5"/>
        <v>-1103.6917780714521</v>
      </c>
      <c r="X29" s="966">
        <f t="shared" si="5"/>
        <v>-1103.1699149697415</v>
      </c>
      <c r="Y29" s="966">
        <f t="shared" si="5"/>
        <v>-1102.6313522487726</v>
      </c>
      <c r="Z29" s="966">
        <f t="shared" si="5"/>
        <v>-1102.0755555207343</v>
      </c>
      <c r="AA29" s="966">
        <f t="shared" si="5"/>
        <v>-1101.501973297396</v>
      </c>
      <c r="AB29" s="965">
        <f t="shared" si="5"/>
        <v>-1716.5613611590034</v>
      </c>
      <c r="AC29" s="964">
        <f t="shared" si="3"/>
        <v>3.637978807091713E-12</v>
      </c>
    </row>
    <row r="30" spans="2:29" ht="15.5" thickTop="1" thickBot="1" x14ac:dyDescent="0.4">
      <c r="B30" s="1802" t="str">
        <f>VLOOKUP("Cash Flow proxecto [A+B]",tabIdiomas26[],MATCH('Indiv. Invoices Comparison'!$J$2,tabIdiomas26[#Headers]),FALSE)</f>
        <v>Project Cash Flow [A+B]</v>
      </c>
      <c r="C30" s="1803">
        <f t="shared" ref="C30:AB30" si="6">C15+C19</f>
        <v>-70150</v>
      </c>
      <c r="D30" s="1803">
        <f t="shared" si="6"/>
        <v>5878.2058333333334</v>
      </c>
      <c r="E30" s="1803">
        <f t="shared" si="6"/>
        <v>5785.7964999999995</v>
      </c>
      <c r="F30" s="1803">
        <f t="shared" si="6"/>
        <v>6010.3224056666659</v>
      </c>
      <c r="G30" s="1803">
        <f t="shared" si="6"/>
        <v>6231.3719469089992</v>
      </c>
      <c r="H30" s="1803">
        <f t="shared" si="6"/>
        <v>6459.2743294231768</v>
      </c>
      <c r="I30" s="1803">
        <f t="shared" si="6"/>
        <v>6694.2420010644146</v>
      </c>
      <c r="J30" s="1803">
        <f t="shared" si="6"/>
        <v>6936.4939958842624</v>
      </c>
      <c r="K30" s="1803">
        <f t="shared" si="6"/>
        <v>7186.2561383127031</v>
      </c>
      <c r="L30" s="1803">
        <f t="shared" si="6"/>
        <v>7443.76125367022</v>
      </c>
      <c r="M30" s="1803">
        <f t="shared" si="6"/>
        <v>7709.2493852060561</v>
      </c>
      <c r="N30" s="1803">
        <f t="shared" si="6"/>
        <v>7982.9680178650051</v>
      </c>
      <c r="O30" s="1803">
        <f t="shared" si="6"/>
        <v>8265.1723089913485</v>
      </c>
      <c r="P30" s="1803">
        <f t="shared" si="6"/>
        <v>8556.1253261849251</v>
      </c>
      <c r="Q30" s="1803">
        <f t="shared" si="6"/>
        <v>8856.0982925311782</v>
      </c>
      <c r="R30" s="1803">
        <f t="shared" si="6"/>
        <v>-4834.6291605663246</v>
      </c>
      <c r="S30" s="1803">
        <f t="shared" si="6"/>
        <v>9484.2312672848311</v>
      </c>
      <c r="T30" s="1803">
        <f t="shared" si="6"/>
        <v>9812.9768142178946</v>
      </c>
      <c r="U30" s="1803">
        <f t="shared" si="6"/>
        <v>10151.913933190595</v>
      </c>
      <c r="V30" s="1803">
        <f t="shared" si="6"/>
        <v>10501.358577658872</v>
      </c>
      <c r="W30" s="1803">
        <f t="shared" si="6"/>
        <v>10861.636496106925</v>
      </c>
      <c r="X30" s="1803">
        <f t="shared" si="6"/>
        <v>11233.083535708163</v>
      </c>
      <c r="Y30" s="1803">
        <f t="shared" si="6"/>
        <v>11616.045955400146</v>
      </c>
      <c r="Z30" s="1803">
        <f t="shared" si="6"/>
        <v>12010.8807486653</v>
      </c>
      <c r="AA30" s="1803">
        <f t="shared" si="6"/>
        <v>12417.955976318404</v>
      </c>
      <c r="AB30" s="1804">
        <f t="shared" si="6"/>
        <v>12221.999784894886</v>
      </c>
      <c r="AC30" s="1805">
        <f t="shared" si="3"/>
        <v>135322.79166392199</v>
      </c>
    </row>
    <row r="31" spans="2:29" ht="15.5" thickTop="1" thickBot="1" x14ac:dyDescent="0.4">
      <c r="C31" s="626"/>
      <c r="D31" s="626"/>
      <c r="E31" s="626"/>
      <c r="F31" s="626"/>
      <c r="G31" s="626"/>
      <c r="H31" s="626"/>
      <c r="I31" s="626"/>
      <c r="J31" s="626"/>
      <c r="K31" s="626"/>
      <c r="L31" s="626"/>
      <c r="M31" s="626"/>
      <c r="N31" s="626"/>
      <c r="O31" s="626"/>
      <c r="P31" s="626"/>
      <c r="Q31" s="626"/>
      <c r="R31" s="626"/>
      <c r="S31" s="626"/>
      <c r="T31" s="626"/>
      <c r="U31" s="626"/>
      <c r="V31" s="626"/>
      <c r="W31" s="626"/>
      <c r="X31" s="626"/>
      <c r="Y31" s="626"/>
      <c r="Z31" s="626"/>
      <c r="AA31" s="626"/>
      <c r="AB31" s="626"/>
    </row>
    <row r="32" spans="2:29" ht="15.5" thickTop="1" thickBot="1" x14ac:dyDescent="0.4">
      <c r="B32" s="1806" t="str">
        <f>VLOOKUP("Cash Flow dos Socios",tabIdiomas26[],MATCH('Indiv. Invoices Comparison'!$J$2,tabIdiomas26[#Headers]),FALSE)</f>
        <v>Cash Flow from Partners</v>
      </c>
      <c r="C32" s="742">
        <f>-C21</f>
        <v>-70150</v>
      </c>
      <c r="D32" s="1531">
        <f t="shared" ref="D32:AB32" si="7">D29-D27</f>
        <v>47878.205833333333</v>
      </c>
      <c r="E32" s="1531">
        <f t="shared" si="7"/>
        <v>5785.7964999999995</v>
      </c>
      <c r="F32" s="1531">
        <f t="shared" si="7"/>
        <v>6010.3224056666659</v>
      </c>
      <c r="G32" s="1531">
        <f t="shared" si="7"/>
        <v>6231.3719469089992</v>
      </c>
      <c r="H32" s="1531">
        <f t="shared" si="7"/>
        <v>6459.2743294231768</v>
      </c>
      <c r="I32" s="1531">
        <f t="shared" si="7"/>
        <v>6694.2420010644146</v>
      </c>
      <c r="J32" s="1531">
        <f t="shared" si="7"/>
        <v>6936.4939958842624</v>
      </c>
      <c r="K32" s="1531">
        <f t="shared" si="7"/>
        <v>7186.2561383127031</v>
      </c>
      <c r="L32" s="1531">
        <f t="shared" si="7"/>
        <v>7443.76125367022</v>
      </c>
      <c r="M32" s="1531">
        <f t="shared" si="7"/>
        <v>7709.2493852060561</v>
      </c>
      <c r="N32" s="1531">
        <f t="shared" si="7"/>
        <v>7982.9680178650051</v>
      </c>
      <c r="O32" s="1531">
        <f t="shared" si="7"/>
        <v>8265.1723089913485</v>
      </c>
      <c r="P32" s="1531">
        <f t="shared" si="7"/>
        <v>8556.1253261849251</v>
      </c>
      <c r="Q32" s="1531">
        <f t="shared" si="7"/>
        <v>8856.0982925311782</v>
      </c>
      <c r="R32" s="1531">
        <f t="shared" si="7"/>
        <v>-4834.6291605663246</v>
      </c>
      <c r="S32" s="1531">
        <f t="shared" si="7"/>
        <v>9484.2312672848311</v>
      </c>
      <c r="T32" s="1531">
        <f t="shared" si="7"/>
        <v>9812.9768142178946</v>
      </c>
      <c r="U32" s="1531">
        <f t="shared" si="7"/>
        <v>10151.913933190595</v>
      </c>
      <c r="V32" s="1531">
        <f t="shared" si="7"/>
        <v>10501.358577658872</v>
      </c>
      <c r="W32" s="1531">
        <f t="shared" si="7"/>
        <v>10861.636496106925</v>
      </c>
      <c r="X32" s="1531">
        <f t="shared" si="7"/>
        <v>11233.083535708163</v>
      </c>
      <c r="Y32" s="1531">
        <f t="shared" si="7"/>
        <v>11616.045955400146</v>
      </c>
      <c r="Z32" s="1531">
        <f t="shared" si="7"/>
        <v>12010.8807486653</v>
      </c>
      <c r="AA32" s="1531">
        <f t="shared" si="7"/>
        <v>12417.955976318404</v>
      </c>
      <c r="AB32" s="1530">
        <f t="shared" si="7"/>
        <v>12221.999784894886</v>
      </c>
      <c r="AC32" s="1807">
        <f>SUM(C32:AB32)</f>
        <v>177322.79166392199</v>
      </c>
    </row>
    <row r="33" spans="2:29" ht="15" thickTop="1" x14ac:dyDescent="0.35">
      <c r="B33" s="1808" t="str">
        <f>VLOOKUP("Valor Actual do Fluxo de Caixa",tabIdiomas26[],MATCH('Indiv. Invoices Comparison'!$J$2,tabIdiomas26[#Headers]),FALSE)</f>
        <v>Present Value of Cash Flow</v>
      </c>
      <c r="C33" s="1809">
        <f>C32</f>
        <v>-70150</v>
      </c>
      <c r="D33" s="1809">
        <f>D32/((1+'Hipóteses xerais (2)'!$C$33)^('Cash Flow Statement'!D4))</f>
        <v>46368.898197020317</v>
      </c>
      <c r="E33" s="1809">
        <f>E32/((1+'Hipóteses xerais (2)'!$C$33)^('Cash Flow Statement'!E4))</f>
        <v>5426.7644629467613</v>
      </c>
      <c r="F33" s="1809">
        <f>F32/((1+'Hipóteses xerais (2)'!$C$33)^('Cash Flow Statement'!F4))</f>
        <v>5459.6461473878608</v>
      </c>
      <c r="G33" s="1809">
        <f>G32/((1+'Hipóteses xerais (2)'!$C$33)^('Cash Flow Statement'!G4))</f>
        <v>5482.0035279387066</v>
      </c>
      <c r="H33" s="1809">
        <f>H32/((1+'Hipóteses xerais (2)'!$C$33)^('Cash Flow Statement'!H4))</f>
        <v>5503.3644556563922</v>
      </c>
      <c r="I33" s="1809">
        <f>I32/((1+'Hipóteses xerais (2)'!$C$33)^('Cash Flow Statement'!I4))</f>
        <v>5523.7607803024048</v>
      </c>
      <c r="J33" s="1809">
        <f>J32/((1+'Hipóteses xerais (2)'!$C$33)^('Cash Flow Statement'!J4))</f>
        <v>5543.2233469526664</v>
      </c>
      <c r="K33" s="1809">
        <f>K32/((1+'Hipóteses xerais (2)'!$C$33)^('Cash Flow Statement'!K4))</f>
        <v>5561.7820276701377</v>
      </c>
      <c r="L33" s="1809">
        <f>L32/((1+'Hipóteses xerais (2)'!$C$33)^('Cash Flow Statement'!L4))</f>
        <v>5579.4657521789604</v>
      </c>
      <c r="M33" s="1809">
        <f>M32/((1+'Hipóteses xerais (2)'!$C$33)^('Cash Flow Statement'!M4))</f>
        <v>5596.302537571627</v>
      </c>
      <c r="N33" s="1809">
        <f>N32/((1+'Hipóteses xerais (2)'!$C$33)^('Cash Flow Statement'!N4))</f>
        <v>5612.3195170796671</v>
      </c>
      <c r="O33" s="1809">
        <f>O32/((1+'Hipóteses xerais (2)'!$C$33)^('Cash Flow Statement'!O4))</f>
        <v>5627.5429679373874</v>
      </c>
      <c r="P33" s="1809">
        <f>P32/((1+'Hipóteses xerais (2)'!$C$33)^('Cash Flow Statement'!P4))</f>
        <v>5641.9983383671924</v>
      </c>
      <c r="Q33" s="1809">
        <f>Q32/((1+'Hipóteses xerais (2)'!$C$33)^('Cash Flow Statement'!Q4))</f>
        <v>5655.7102737142723</v>
      </c>
      <c r="R33" s="1809">
        <f>R32/((1+'Hipóteses xerais (2)'!$C$33)^('Cash Flow Statement'!R4))</f>
        <v>-2990.1763468757813</v>
      </c>
      <c r="S33" s="1809">
        <f>S32/((1+'Hipóteses xerais (2)'!$C$33)^('Cash Flow Statement'!S4))</f>
        <v>5680.9985572217402</v>
      </c>
      <c r="T33" s="1809">
        <f>T32/((1+'Hipóteses xerais (2)'!$C$33)^('Cash Flow Statement'!T4))</f>
        <v>5692.6204055191956</v>
      </c>
      <c r="U33" s="1809">
        <f>U32/((1+'Hipóteses xerais (2)'!$C$33)^('Cash Flow Statement'!U4))</f>
        <v>5703.5898657399903</v>
      </c>
      <c r="V33" s="1809">
        <f>V32/((1+'Hipóteses xerais (2)'!$C$33)^('Cash Flow Statement'!V4))</f>
        <v>5713.9279329197352</v>
      </c>
      <c r="W33" s="1809">
        <f>W32/((1+'Hipóteses xerais (2)'!$C$33)^('Cash Flow Statement'!W4))</f>
        <v>5723.6549396044566</v>
      </c>
      <c r="X33" s="1809">
        <f>X32/((1+'Hipóteses xerais (2)'!$C$33)^('Cash Flow Statement'!X4))</f>
        <v>5732.7905767358061</v>
      </c>
      <c r="Y33" s="1809">
        <f>Y32/((1+'Hipóteses xerais (2)'!$C$33)^('Cash Flow Statement'!Y4))</f>
        <v>5741.3539138779124</v>
      </c>
      <c r="Z33" s="1809">
        <f>Z32/((1+'Hipóteses xerais (2)'!$C$33)^('Cash Flow Statement'!Z4))</f>
        <v>5749.3634188065625</v>
      </c>
      <c r="AA33" s="1809">
        <f>AA32/((1+'Hipóteses xerais (2)'!$C$33)^('Cash Flow Statement'!AA4))</f>
        <v>5756.836976480904</v>
      </c>
      <c r="AB33" s="1810">
        <f>AB32/((1+'Hipóteses xerais (2)'!$C$33)^('Cash Flow Statement'!AB4))</f>
        <v>5487.3794942044215</v>
      </c>
      <c r="AC33" s="1529">
        <f>SUM(C33:AB33)</f>
        <v>102425.1220669593</v>
      </c>
    </row>
    <row r="34" spans="2:29" ht="15" thickBot="1" x14ac:dyDescent="0.4">
      <c r="B34" s="1802" t="str">
        <f>VLOOKUP("Valor Actual Fluxo de Caixa Proxecto",tabIdiomas26[],MATCH('Indiv. Invoices Comparison'!$J$2,tabIdiomas26[#Headers]),FALSE)</f>
        <v>Present Value Cash Flow Project</v>
      </c>
      <c r="C34" s="1803">
        <f>C30</f>
        <v>-70150</v>
      </c>
      <c r="D34" s="1803">
        <f>D30/((1+'Hipóteses xerais (2)'!$C$33)^('Cash Flow Statement'!D4))</f>
        <v>5692.9018772295121</v>
      </c>
      <c r="E34" s="1803">
        <f>E30/((1+'Hipóteses xerais (2)'!$C$33)^('Cash Flow Statement'!E4))</f>
        <v>5426.7644629467613</v>
      </c>
      <c r="F34" s="1803">
        <f>F30/((1+'Hipóteses xerais (2)'!$C$33)^('Cash Flow Statement'!F4))</f>
        <v>5459.6461473878608</v>
      </c>
      <c r="G34" s="1803">
        <f>G30/((1+'Hipóteses xerais (2)'!$C$33)^('Cash Flow Statement'!G4))</f>
        <v>5482.0035279387066</v>
      </c>
      <c r="H34" s="1803">
        <f>H30/((1+'Hipóteses xerais (2)'!$C$33)^('Cash Flow Statement'!H4))</f>
        <v>5503.3644556563922</v>
      </c>
      <c r="I34" s="1803">
        <f>I30/((1+'Hipóteses xerais (2)'!$C$33)^('Cash Flow Statement'!I4))</f>
        <v>5523.7607803024048</v>
      </c>
      <c r="J34" s="1803">
        <f>J30/((1+'Hipóteses xerais (2)'!$C$33)^('Cash Flow Statement'!J4))</f>
        <v>5543.2233469526664</v>
      </c>
      <c r="K34" s="1803">
        <f>K30/((1+'Hipóteses xerais (2)'!$C$33)^('Cash Flow Statement'!K4))</f>
        <v>5561.7820276701377</v>
      </c>
      <c r="L34" s="1803">
        <f>L30/((1+'Hipóteses xerais (2)'!$C$33)^('Cash Flow Statement'!L4))</f>
        <v>5579.4657521789604</v>
      </c>
      <c r="M34" s="1803">
        <f>M30/((1+'Hipóteses xerais (2)'!$C$33)^('Cash Flow Statement'!M4))</f>
        <v>5596.302537571627</v>
      </c>
      <c r="N34" s="1803">
        <f>N30/((1+'Hipóteses xerais (2)'!$C$33)^('Cash Flow Statement'!N4))</f>
        <v>5612.3195170796671</v>
      </c>
      <c r="O34" s="1803">
        <f>O30/((1+'Hipóteses xerais (2)'!$C$33)^('Cash Flow Statement'!O4))</f>
        <v>5627.5429679373874</v>
      </c>
      <c r="P34" s="1803">
        <f>P30/((1+'Hipóteses xerais (2)'!$C$33)^('Cash Flow Statement'!P4))</f>
        <v>5641.9983383671924</v>
      </c>
      <c r="Q34" s="1803">
        <f>Q30/((1+'Hipóteses xerais (2)'!$C$33)^('Cash Flow Statement'!Q4))</f>
        <v>5655.7102737142723</v>
      </c>
      <c r="R34" s="1803">
        <f>R30/((1+'Hipóteses xerais (2)'!$C$33)^('Cash Flow Statement'!R4))</f>
        <v>-2990.1763468757813</v>
      </c>
      <c r="S34" s="1803">
        <f>S30/((1+'Hipóteses xerais (2)'!$C$33)^('Cash Flow Statement'!S4))</f>
        <v>5680.9985572217402</v>
      </c>
      <c r="T34" s="1803">
        <f>T30/((1+'Hipóteses xerais (2)'!$C$33)^('Cash Flow Statement'!T4))</f>
        <v>5692.6204055191956</v>
      </c>
      <c r="U34" s="1803">
        <f>U30/((1+'Hipóteses xerais (2)'!$C$33)^('Cash Flow Statement'!U4))</f>
        <v>5703.5898657399903</v>
      </c>
      <c r="V34" s="1803">
        <f>V30/((1+'Hipóteses xerais (2)'!$C$33)^('Cash Flow Statement'!V4))</f>
        <v>5713.9279329197352</v>
      </c>
      <c r="W34" s="1803">
        <f>W30/((1+'Hipóteses xerais (2)'!$C$33)^('Cash Flow Statement'!W4))</f>
        <v>5723.6549396044566</v>
      </c>
      <c r="X34" s="1803">
        <f>X30/((1+'Hipóteses xerais (2)'!$C$33)^('Cash Flow Statement'!X4))</f>
        <v>5732.7905767358061</v>
      </c>
      <c r="Y34" s="1803">
        <f>Y30/((1+'Hipóteses xerais (2)'!$C$33)^('Cash Flow Statement'!Y4))</f>
        <v>5741.3539138779124</v>
      </c>
      <c r="Z34" s="1803">
        <f>Z30/((1+'Hipóteses xerais (2)'!$C$33)^('Cash Flow Statement'!Z4))</f>
        <v>5749.3634188065625</v>
      </c>
      <c r="AA34" s="1803">
        <f>AA30/((1+'Hipóteses xerais (2)'!$C$33)^('Cash Flow Statement'!AA4))</f>
        <v>5756.836976480904</v>
      </c>
      <c r="AB34" s="1804">
        <f>AB30/((1+'Hipóteses xerais (2)'!$C$33)^('Cash Flow Statement'!AB4))</f>
        <v>5487.3794942044215</v>
      </c>
      <c r="AC34" s="1528">
        <f>SUM(C34:AB34)</f>
        <v>61749.12574716848</v>
      </c>
    </row>
    <row r="35" spans="2:29" ht="15.5" thickTop="1" thickBot="1" x14ac:dyDescent="0.4">
      <c r="C35" s="626"/>
      <c r="D35" s="626"/>
      <c r="E35" s="626"/>
      <c r="F35" s="626"/>
      <c r="G35" s="626"/>
      <c r="H35" s="626"/>
      <c r="I35" s="626"/>
      <c r="J35" s="626"/>
      <c r="K35" s="626"/>
      <c r="L35" s="626"/>
      <c r="M35" s="626"/>
      <c r="N35" s="626"/>
      <c r="O35" s="626"/>
      <c r="P35" s="626"/>
      <c r="Q35" s="626"/>
      <c r="R35" s="626"/>
      <c r="S35" s="626"/>
      <c r="T35" s="626"/>
      <c r="U35" s="626"/>
      <c r="V35" s="626"/>
      <c r="W35" s="626"/>
      <c r="X35" s="626"/>
      <c r="Y35" s="626"/>
      <c r="Z35" s="626"/>
      <c r="AA35" s="626"/>
      <c r="AB35" s="626"/>
    </row>
    <row r="36" spans="2:29" ht="15.5" thickTop="1" thickBot="1" x14ac:dyDescent="0.4">
      <c r="B36" s="1811" t="str">
        <f>VLOOKUP("Rendemento da instalación e recursos financeiros necesarios",tabIdiomas26[],MATCH('Indiv. Invoices Comparison'!$J$2,tabIdiomas26[#Headers]),FALSE)</f>
        <v>Performance of the installation and financial resources required</v>
      </c>
      <c r="C36" s="626"/>
      <c r="D36" s="626"/>
      <c r="E36" s="626"/>
      <c r="F36" s="626"/>
      <c r="G36" s="626"/>
      <c r="H36" s="626"/>
      <c r="I36" s="626"/>
      <c r="J36" s="626"/>
      <c r="K36" s="626"/>
      <c r="L36" s="626"/>
      <c r="M36" s="626"/>
      <c r="N36" s="626"/>
      <c r="O36" s="626"/>
      <c r="P36" s="626"/>
      <c r="Q36" s="626"/>
      <c r="R36" s="626"/>
      <c r="S36" s="626"/>
      <c r="T36" s="626"/>
      <c r="U36" s="626"/>
      <c r="V36" s="626"/>
      <c r="W36" s="626"/>
      <c r="X36" s="626"/>
      <c r="Y36" s="626"/>
      <c r="Z36" s="626"/>
      <c r="AA36" s="626"/>
      <c r="AB36" s="626"/>
    </row>
    <row r="37" spans="2:29" ht="15.5" thickTop="1" thickBot="1" x14ac:dyDescent="0.4">
      <c r="B37" s="1812" t="str">
        <f>VLOOKUP("TIR proxecto",tabIdiomas26[],MATCH('Indiv. Invoices Comparison'!$J$2,tabIdiomas26[#Headers]),FALSE)</f>
        <v>Project IRR</v>
      </c>
      <c r="C37" s="1813">
        <f>IRR(C30:AB30)</f>
        <v>9.0925758702754766E-2</v>
      </c>
      <c r="D37" s="626"/>
      <c r="E37" s="1814" t="str">
        <f>VLOOKUP("Ter en conta se está a excluír ou non o valor da enerxía producida e transmitida gratuitamente aos socios para o seu autoconsumo ou compensación.",tabIdiomas26[],MATCH('Indiv. Invoices Comparison'!$J$2,tabIdiomas26[#Headers]),FALSE)</f>
        <v>Consider whether or not to exclude the value of the energy produced and transmitted free of charge to the members for self-consumption or compensation.</v>
      </c>
      <c r="F37" s="1815"/>
      <c r="G37" s="1815"/>
      <c r="H37" s="1815"/>
      <c r="I37" s="1815"/>
      <c r="J37" s="1815"/>
      <c r="K37" s="1815"/>
      <c r="L37" s="1815"/>
      <c r="M37" s="1815"/>
      <c r="N37" s="1816"/>
      <c r="O37" s="626"/>
      <c r="P37" s="626"/>
      <c r="Q37" s="626"/>
      <c r="R37" s="626"/>
      <c r="S37" s="626"/>
      <c r="T37" s="626"/>
      <c r="U37" s="626"/>
      <c r="V37" s="626"/>
      <c r="W37" s="626"/>
      <c r="X37" s="626"/>
      <c r="Y37" s="626"/>
      <c r="Z37" s="626"/>
      <c r="AA37" s="626"/>
      <c r="AB37" s="626"/>
    </row>
    <row r="38" spans="2:29" ht="15.5" thickTop="1" thickBot="1" x14ac:dyDescent="0.4">
      <c r="B38" s="1812" t="str">
        <f>VLOOKUP("TIR modificada proxecto",tabIdiomas26[],MATCH('Indiv. Invoices Comparison'!$J$2,tabIdiomas26[#Headers]),FALSE)</f>
        <v>Modified project IRR</v>
      </c>
      <c r="C38" s="1813">
        <f>MIRR(C30:AB30,'Hipóteses xerais (2)'!C33,'Hipóteses xerais (2)'!C33)</f>
        <v>5.8141996032660792E-2</v>
      </c>
      <c r="D38" s="626"/>
      <c r="E38" s="626"/>
      <c r="F38" s="626"/>
      <c r="G38" s="626"/>
      <c r="H38" s="626"/>
      <c r="I38" s="626"/>
      <c r="J38" s="626"/>
      <c r="K38" s="626"/>
      <c r="L38" s="626"/>
      <c r="M38" s="626"/>
      <c r="N38" s="626"/>
      <c r="O38" s="626"/>
      <c r="P38" s="626"/>
      <c r="Q38" s="626"/>
      <c r="R38" s="626"/>
      <c r="S38" s="626"/>
      <c r="T38" s="626"/>
      <c r="U38" s="626"/>
      <c r="V38" s="626"/>
      <c r="W38" s="626"/>
      <c r="X38" s="626"/>
      <c r="Y38" s="626"/>
      <c r="Z38" s="626"/>
      <c r="AA38" s="626"/>
      <c r="AB38" s="626"/>
    </row>
    <row r="39" spans="2:29" ht="15.5" thickTop="1" thickBot="1" x14ac:dyDescent="0.4">
      <c r="B39" s="1812" t="str">
        <f>VLOOKUP("TIR Socios Incluíndo Fluxos de Financiamento",tabIdiomas26[],MATCH('Indiv. Invoices Comparison'!$J$2,tabIdiomas26[#Headers]),FALSE)</f>
        <v>IRR Partners Including Financing Cash Flows</v>
      </c>
      <c r="C39" s="1813">
        <f>IRR(C32:AB32)</f>
        <v>0.18795408864930852</v>
      </c>
      <c r="D39" s="626"/>
      <c r="E39" s="424" t="str">
        <f>VLOOKUP("Inclusión do Valor da Enerxía Producida como Ingreso que Si Xera un Fluxo de Efectivo Pseudo-Monetario (Si/Non)",tabIdiomas26[],MATCH('Indiv. Invoices Comparison'!$J$2,tabIdiomas26[#Headers]),FALSE)</f>
        <v>Inclusion of Value of Energy Produced as Income that Does Generate a Pseudo-Monetary Cash Flow (Yes/No)</v>
      </c>
      <c r="F39" s="424"/>
      <c r="G39" s="424"/>
      <c r="H39" s="424"/>
      <c r="I39" s="424"/>
      <c r="J39" s="424"/>
      <c r="K39" s="1527"/>
      <c r="L39" s="1526"/>
      <c r="M39" s="626"/>
      <c r="N39" s="626"/>
      <c r="O39" s="626"/>
      <c r="P39" s="626"/>
      <c r="Q39" s="626"/>
      <c r="R39" s="626"/>
      <c r="S39" s="626"/>
      <c r="T39" s="626"/>
      <c r="U39" s="626"/>
      <c r="V39" s="626"/>
      <c r="W39" s="626"/>
      <c r="X39" s="626"/>
      <c r="Y39" s="626"/>
      <c r="Z39" s="626"/>
      <c r="AA39" s="626"/>
    </row>
    <row r="40" spans="2:29" ht="15.5" thickTop="1" thickBot="1" x14ac:dyDescent="0.4">
      <c r="B40" s="1812" t="str">
        <f>VLOOKUP("TIR Modificada dos Socios",tabIdiomas26[],MATCH('Indiv. Invoices Comparison'!$J$2,tabIdiomas26[#Headers]),FALSE)</f>
        <v>Partners' Modified IRR</v>
      </c>
      <c r="C40" s="1813">
        <f>MIRR(C32:AB32, 10%,'Hipóteses xerais (2)'!C33)</f>
        <v>7.0442296290374573E-2</v>
      </c>
      <c r="D40" s="626"/>
      <c r="E40" s="1789" t="str">
        <f>'General Hipotheses (INTRO)'!$B$34</f>
        <v>Yes</v>
      </c>
      <c r="F40" s="1525"/>
      <c r="G40" s="1525"/>
      <c r="H40" s="1525"/>
      <c r="I40" s="1525"/>
      <c r="J40" s="1525"/>
      <c r="K40" s="1525"/>
      <c r="L40" s="1524"/>
      <c r="M40" s="626"/>
      <c r="N40" s="626"/>
      <c r="O40" s="626"/>
      <c r="P40" s="626"/>
      <c r="Q40" s="626"/>
      <c r="R40" s="626"/>
      <c r="S40" s="626"/>
      <c r="T40" s="626"/>
      <c r="U40" s="626"/>
      <c r="V40" s="626"/>
      <c r="W40" s="626"/>
      <c r="X40" s="626"/>
      <c r="Y40" s="626"/>
      <c r="Z40" s="626"/>
      <c r="AA40" s="626"/>
    </row>
    <row r="41" spans="2:29" ht="15.5" thickTop="1" thickBot="1" x14ac:dyDescent="0.4">
      <c r="B41" s="1812" t="str">
        <f>VLOOKUP("VAN Socios con Fluxos de Financiamento (ke 5%)",tabIdiomas26[],MATCH('Indiv. Invoices Comparison'!$J$2,tabIdiomas26[#Headers]),FALSE)</f>
        <v>NPV Partners with Funding Flows (ke 5%)</v>
      </c>
      <c r="C41" s="1817">
        <f>C29+NPV(5%,D29:AB29)</f>
        <v>17740.760985948535</v>
      </c>
      <c r="D41" s="626"/>
      <c r="E41" s="626"/>
      <c r="F41" s="626"/>
      <c r="G41" s="626"/>
      <c r="H41" s="626"/>
      <c r="I41" s="626"/>
      <c r="J41" s="626"/>
      <c r="K41" s="626"/>
      <c r="L41" s="626"/>
      <c r="M41" s="626"/>
      <c r="N41" s="626"/>
      <c r="O41" s="626"/>
      <c r="P41" s="626"/>
      <c r="Q41" s="626"/>
      <c r="R41" s="626"/>
      <c r="S41" s="626"/>
      <c r="T41" s="626"/>
      <c r="U41" s="626"/>
      <c r="V41" s="626"/>
      <c r="W41" s="626"/>
      <c r="X41" s="626"/>
      <c r="Y41" s="626"/>
      <c r="Z41" s="626"/>
      <c r="AA41" s="626"/>
    </row>
    <row r="42" spans="2:29" ht="15.5" thickTop="1" thickBot="1" x14ac:dyDescent="0.4">
      <c r="B42" s="1812" t="str">
        <f>VLOOKUP("Período de Recuperación do Investimento (Anos)",tabIdiomas26[],MATCH('Indiv. Invoices Comparison'!$J$2,tabIdiomas26[#Headers]),FALSE)</f>
        <v>Payback Period (Years)</v>
      </c>
      <c r="C42" s="1818">
        <f>(-C33)/AVERAGE(D33:AB33)</f>
        <v>10.162241109813868</v>
      </c>
      <c r="D42" s="626"/>
      <c r="E42" s="626"/>
      <c r="F42" s="626"/>
      <c r="G42" s="626"/>
      <c r="H42" s="626"/>
      <c r="I42" s="626"/>
      <c r="J42" s="626"/>
      <c r="K42" s="626"/>
      <c r="L42" s="626"/>
      <c r="M42" s="626"/>
      <c r="N42" s="626"/>
      <c r="O42" s="626"/>
      <c r="P42" s="626"/>
      <c r="Q42" s="626"/>
      <c r="R42" s="626"/>
      <c r="S42" s="626"/>
      <c r="T42" s="626"/>
      <c r="U42" s="626"/>
      <c r="V42" s="626"/>
      <c r="W42" s="626"/>
      <c r="X42" s="626"/>
      <c r="Y42" s="626"/>
      <c r="Z42" s="626"/>
      <c r="AA42" s="626"/>
    </row>
    <row r="43" spans="2:29" ht="15.5" thickTop="1" thickBot="1" x14ac:dyDescent="0.4">
      <c r="B43" s="1812" t="str">
        <f>VLOOKUP("Período de Recuperación do Investimento Excl. Subv. (Anos)",tabIdiomas26[],MATCH('Indiv. Invoices Comparison'!$J$2,tabIdiomas26[#Headers]),FALSE)</f>
        <v>Payback Period Excl. Grant (Years)</v>
      </c>
      <c r="C43" s="1818">
        <f>(-C34)/AVERAGE(D34:AB34)</f>
        <v>13.29614574824161</v>
      </c>
      <c r="D43" s="626"/>
      <c r="E43" s="626"/>
      <c r="F43" s="626"/>
      <c r="G43" s="626"/>
      <c r="H43" s="626"/>
      <c r="I43" s="626"/>
      <c r="J43" s="626"/>
      <c r="K43" s="626"/>
      <c r="L43" s="626"/>
      <c r="M43" s="626"/>
      <c r="N43" s="626"/>
      <c r="O43" s="626"/>
      <c r="P43" s="626"/>
      <c r="Q43" s="626"/>
      <c r="R43" s="626"/>
      <c r="S43" s="626"/>
      <c r="T43" s="626"/>
      <c r="U43" s="626"/>
      <c r="V43" s="626"/>
      <c r="W43" s="626"/>
      <c r="X43" s="626"/>
      <c r="Y43" s="626"/>
      <c r="Z43" s="626"/>
      <c r="AA43" s="626"/>
    </row>
    <row r="44" spans="2:29" ht="15" thickTop="1" x14ac:dyDescent="0.35">
      <c r="B44" s="1819" t="str">
        <f>VLOOKUP("Aportación de Capital Propio dos Socios",tabIdiomas26[],MATCH('Indiv. Invoices Comparison'!$J$2,tabIdiomas26[#Headers]),FALSE)</f>
        <v>Shareholders' Equity Contribution</v>
      </c>
      <c r="C44" s="1820">
        <f>'Hipóteses xerais (2)'!$F$35</f>
        <v>70150</v>
      </c>
      <c r="D44" s="626"/>
      <c r="E44" s="626"/>
      <c r="F44" s="626"/>
      <c r="G44" s="626"/>
      <c r="H44" s="626"/>
      <c r="I44" s="626"/>
      <c r="J44" s="626"/>
      <c r="K44" s="626"/>
      <c r="L44" s="626"/>
      <c r="M44" s="626"/>
      <c r="N44" s="626"/>
      <c r="O44" s="626"/>
      <c r="P44" s="626"/>
      <c r="Q44" s="626"/>
      <c r="R44" s="626"/>
      <c r="S44" s="626"/>
      <c r="T44" s="626"/>
      <c r="U44" s="626"/>
      <c r="V44" s="626"/>
      <c r="W44" s="626"/>
      <c r="X44" s="626"/>
      <c r="Y44" s="626"/>
      <c r="Z44" s="626"/>
      <c r="AA44" s="626"/>
    </row>
    <row r="45" spans="2:29" x14ac:dyDescent="0.35">
      <c r="B45" s="1819" t="str">
        <f>VLOOKUP("Subvención",tabIdiomas26[],MATCH('Indiv. Invoices Comparison'!$J$2,tabIdiomas26[#Headers]),FALSE)</f>
        <v>Grant</v>
      </c>
      <c r="C45" s="1820">
        <f>IF('Hipóteses xerais (2)'!$E$64="Si",'Hipóteses xerais (2)'!$C$62,0)</f>
        <v>42000</v>
      </c>
      <c r="D45" s="626"/>
      <c r="E45" s="626"/>
      <c r="F45" s="626"/>
      <c r="G45" s="626"/>
      <c r="H45" s="626"/>
      <c r="I45" s="626"/>
      <c r="J45" s="626"/>
      <c r="K45" s="626"/>
      <c r="L45" s="626"/>
      <c r="M45" s="626"/>
      <c r="N45" s="626"/>
      <c r="O45" s="626"/>
      <c r="P45" s="626"/>
      <c r="Q45" s="626"/>
      <c r="R45" s="626"/>
      <c r="S45" s="626"/>
      <c r="T45" s="626"/>
      <c r="U45" s="626"/>
      <c r="V45" s="626"/>
      <c r="W45" s="626"/>
      <c r="X45" s="626"/>
      <c r="Y45" s="626"/>
      <c r="Z45" s="626"/>
      <c r="AA45" s="626"/>
    </row>
    <row r="46" spans="2:29" ht="15" thickBot="1" x14ac:dyDescent="0.4">
      <c r="B46" s="1821" t="str">
        <f>VLOOKUP("Préstamo",tabIdiomas26[],MATCH('Indiv. Invoices Comparison'!$J$2,tabIdiomas26[#Headers]),FALSE)</f>
        <v>Loan</v>
      </c>
      <c r="C46" s="1822">
        <f>'x Financiamento'!$E$11</f>
        <v>0</v>
      </c>
      <c r="D46" s="626"/>
      <c r="E46" s="626"/>
      <c r="F46" s="626"/>
      <c r="G46" s="626"/>
      <c r="H46" s="626"/>
      <c r="I46" s="626"/>
      <c r="J46" s="626"/>
      <c r="K46" s="626"/>
      <c r="L46" s="626"/>
      <c r="M46" s="626"/>
      <c r="N46" s="626"/>
      <c r="O46" s="626"/>
      <c r="P46" s="626"/>
      <c r="Q46" s="626"/>
      <c r="R46" s="626"/>
      <c r="S46" s="626"/>
      <c r="T46" s="626"/>
      <c r="U46" s="626"/>
      <c r="V46" s="626"/>
      <c r="W46" s="626"/>
      <c r="X46" s="626"/>
      <c r="Y46" s="626"/>
      <c r="Z46" s="626"/>
      <c r="AA46" s="626"/>
    </row>
    <row r="47" spans="2:29" ht="15.5" thickTop="1" thickBot="1" x14ac:dyDescent="0.4">
      <c r="B47" s="846" t="str">
        <f>VLOOKUP("Total Recursos Financeiros (Propios e Alleos)",tabIdiomas26[],MATCH('Indiv. Invoices Comparison'!$J$2,tabIdiomas26[#Headers]),FALSE)</f>
        <v>Total Financial Resources (Own and Borrowed)</v>
      </c>
      <c r="C47" s="1823">
        <f>SUM(C44:C46)</f>
        <v>112150</v>
      </c>
      <c r="D47" s="626"/>
      <c r="E47" s="626"/>
      <c r="F47" s="626"/>
      <c r="G47" s="626"/>
      <c r="H47" s="626"/>
      <c r="I47" s="626"/>
      <c r="J47" s="626"/>
      <c r="K47" s="626"/>
      <c r="L47" s="626"/>
      <c r="M47" s="626"/>
      <c r="N47" s="626"/>
      <c r="O47" s="626"/>
      <c r="P47" s="626"/>
      <c r="Q47" s="626"/>
      <c r="R47" s="626"/>
      <c r="S47" s="626"/>
      <c r="T47" s="626"/>
      <c r="U47" s="626"/>
      <c r="V47" s="626"/>
      <c r="W47" s="626"/>
      <c r="X47" s="626"/>
      <c r="Y47" s="626"/>
      <c r="Z47" s="626"/>
      <c r="AA47" s="626"/>
    </row>
    <row r="48" spans="2:29" ht="15" thickTop="1" x14ac:dyDescent="0.35">
      <c r="B48" s="1781"/>
      <c r="C48" s="1824"/>
      <c r="D48" s="626"/>
      <c r="E48" s="626"/>
      <c r="F48" s="626"/>
      <c r="G48" s="626"/>
      <c r="H48" s="626"/>
      <c r="I48" s="626"/>
      <c r="J48" s="626"/>
      <c r="K48" s="626"/>
      <c r="L48" s="626"/>
      <c r="M48" s="626"/>
      <c r="N48" s="626"/>
      <c r="O48" s="626"/>
      <c r="P48" s="626"/>
      <c r="Q48" s="626"/>
      <c r="R48" s="626"/>
      <c r="S48" s="626"/>
      <c r="T48" s="626"/>
      <c r="U48" s="626"/>
      <c r="V48" s="626"/>
      <c r="W48" s="626"/>
      <c r="X48" s="626"/>
      <c r="Y48" s="626"/>
      <c r="Z48" s="626"/>
      <c r="AA48" s="626"/>
    </row>
    <row r="49" spans="2:27" ht="15" thickBot="1" x14ac:dyDescent="0.4">
      <c r="B49" s="1781"/>
      <c r="C49" s="1824"/>
      <c r="D49" s="626"/>
      <c r="E49" s="626"/>
      <c r="F49" s="626"/>
      <c r="G49" s="626"/>
      <c r="H49" s="626"/>
      <c r="I49" s="626"/>
      <c r="J49" s="626"/>
      <c r="K49" s="626"/>
      <c r="L49" s="626"/>
      <c r="M49" s="626"/>
      <c r="N49" s="626"/>
      <c r="O49" s="626"/>
      <c r="P49" s="626"/>
      <c r="Q49" s="626"/>
      <c r="R49" s="626"/>
      <c r="S49" s="626"/>
      <c r="T49" s="626"/>
      <c r="U49" s="626"/>
      <c r="V49" s="626"/>
      <c r="W49" s="626"/>
      <c r="X49" s="626"/>
      <c r="Y49" s="626"/>
      <c r="Z49" s="626"/>
      <c r="AA49" s="626"/>
    </row>
    <row r="50" spans="2:27" ht="15.5" thickTop="1" thickBot="1" x14ac:dyDescent="0.4">
      <c r="B50" s="846" t="str">
        <f>VLOOKUP("Desembolso Inicial (Incl. Renovación de Instalacións)",tabIdiomas26[],MATCH('Indiv. Invoices Comparison'!$J$2,tabIdiomas26[#Headers]),FALSE)</f>
        <v>Initial Disbursement (Incl. Renovation of Facilities)</v>
      </c>
      <c r="C50" s="1823">
        <f>'Hipóteses xerais (2)'!$C$91</f>
        <v>84150</v>
      </c>
      <c r="D50" s="626"/>
      <c r="E50" s="626"/>
      <c r="F50" s="626"/>
      <c r="G50" s="626"/>
      <c r="H50" s="626"/>
      <c r="I50" s="626"/>
      <c r="J50" s="626"/>
      <c r="K50" s="626"/>
      <c r="L50" s="626"/>
      <c r="M50" s="626"/>
      <c r="N50" s="626"/>
      <c r="O50" s="626"/>
      <c r="P50" s="626"/>
      <c r="Q50" s="626"/>
      <c r="R50" s="626"/>
      <c r="S50" s="626"/>
      <c r="T50" s="626"/>
      <c r="U50" s="626"/>
      <c r="V50" s="626"/>
      <c r="W50" s="626"/>
      <c r="X50" s="626"/>
      <c r="Y50" s="626"/>
      <c r="Z50" s="626"/>
      <c r="AA50" s="626"/>
    </row>
    <row r="51" spans="2:27" ht="15" thickTop="1" x14ac:dyDescent="0.35">
      <c r="B51" s="1825" t="str">
        <f>VLOOKUP("Investimento",tabIdiomas26[],MATCH('Indiv. Invoices Comparison'!$J$2,tabIdiomas26[#Headers]),FALSE)</f>
        <v>Investment</v>
      </c>
      <c r="C51" s="1824">
        <f>'Hipóteses xerais (2)'!$C$19</f>
        <v>84000</v>
      </c>
      <c r="D51" s="626"/>
      <c r="E51" s="626"/>
      <c r="F51" s="626"/>
      <c r="G51" s="626"/>
      <c r="H51" s="626"/>
      <c r="I51" s="626"/>
      <c r="J51" s="626"/>
      <c r="K51" s="626"/>
      <c r="L51" s="626"/>
      <c r="M51" s="626"/>
      <c r="N51" s="626"/>
      <c r="O51" s="626"/>
      <c r="P51" s="626"/>
      <c r="Q51" s="626"/>
      <c r="R51" s="626"/>
      <c r="S51" s="626"/>
      <c r="T51" s="626"/>
      <c r="U51" s="626"/>
      <c r="V51" s="626"/>
      <c r="W51" s="626"/>
      <c r="X51" s="626"/>
      <c r="Y51" s="626"/>
      <c r="Z51" s="626"/>
      <c r="AA51" s="626"/>
    </row>
    <row r="52" spans="2:27" ht="15" thickBot="1" x14ac:dyDescent="0.4">
      <c r="B52" s="1826" t="str">
        <f>VLOOKUP("Para Necesidades Operativas:",tabIdiomas26[],MATCH('Indiv. Invoices Comparison'!$J$2,tabIdiomas26[#Headers]),FALSE)</f>
        <v>For Operational Needs:</v>
      </c>
      <c r="C52" s="1804">
        <f>'Hipóteses xerais (2)'!$C$74</f>
        <v>150</v>
      </c>
      <c r="D52" s="626"/>
      <c r="E52" s="626"/>
      <c r="F52" s="626"/>
      <c r="G52" s="626"/>
      <c r="H52" s="626"/>
      <c r="I52" s="626"/>
      <c r="J52" s="626"/>
      <c r="K52" s="626"/>
      <c r="L52" s="626"/>
      <c r="M52" s="626"/>
      <c r="N52" s="626"/>
      <c r="O52" s="626"/>
      <c r="P52" s="626"/>
      <c r="Q52" s="626"/>
      <c r="R52" s="626"/>
      <c r="S52" s="626"/>
      <c r="T52" s="626"/>
      <c r="U52" s="626"/>
      <c r="V52" s="626"/>
      <c r="W52" s="626"/>
      <c r="X52" s="626"/>
      <c r="Y52" s="626"/>
      <c r="Z52" s="626"/>
      <c r="AA52" s="626"/>
    </row>
    <row r="53" spans="2:27" ht="15" thickTop="1" x14ac:dyDescent="0.35"/>
  </sheetData>
  <sheetProtection algorithmName="SHA-512" hashValue="c1RuJ/171P6R/2MJJR5DScutdqpZJ6NugTooqtAlzKuC8Ukyl2ai+w1uaWSOJoEeOLVq1NB6YpINQqUfZxzwIA==" saltValue="5aQud1Pxjl9u/WIVBrwJwg==" spinCount="100000" sheet="1" objects="1" scenarios="1"/>
  <dataValidations count="1">
    <dataValidation allowBlank="1" showDropDown="1" showInputMessage="1" showErrorMessage="1" sqref="E40" xr:uid="{2CA3B38B-309E-4824-B47B-D554A5B1F292}"/>
  </dataValidation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EC53F-CAFF-4EF4-8E21-2E0D696991BE}">
  <sheetPr>
    <tabColor rgb="FFFFC9C9"/>
  </sheetPr>
  <dimension ref="A1:AB27"/>
  <sheetViews>
    <sheetView workbookViewId="0">
      <selection activeCell="E5" sqref="E5"/>
    </sheetView>
  </sheetViews>
  <sheetFormatPr baseColWidth="10" defaultColWidth="11.54296875" defaultRowHeight="14.5" x14ac:dyDescent="0.35"/>
  <cols>
    <col min="1" max="1" width="70.453125" bestFit="1" customWidth="1"/>
    <col min="2" max="2" width="12.90625" bestFit="1" customWidth="1"/>
    <col min="17" max="27" width="11.90625" bestFit="1" customWidth="1"/>
    <col min="28" max="28" width="20.36328125" bestFit="1" customWidth="1"/>
  </cols>
  <sheetData>
    <row r="1" spans="1:28" ht="15" thickBot="1" x14ac:dyDescent="0.4"/>
    <row r="2" spans="1:28" ht="15" thickTop="1" x14ac:dyDescent="0.35">
      <c r="A2" s="537"/>
      <c r="B2" s="1612">
        <v>0</v>
      </c>
      <c r="C2" s="684">
        <v>1</v>
      </c>
      <c r="D2" s="684">
        <v>2</v>
      </c>
      <c r="E2" s="684">
        <v>3</v>
      </c>
      <c r="F2" s="684">
        <v>4</v>
      </c>
      <c r="G2" s="684">
        <v>5</v>
      </c>
      <c r="H2" s="684">
        <v>6</v>
      </c>
      <c r="I2" s="684">
        <v>7</v>
      </c>
      <c r="J2" s="684">
        <v>8</v>
      </c>
      <c r="K2" s="684">
        <v>9</v>
      </c>
      <c r="L2" s="684">
        <v>10</v>
      </c>
      <c r="M2" s="684">
        <v>11</v>
      </c>
      <c r="N2" s="684">
        <v>12</v>
      </c>
      <c r="O2" s="684">
        <v>13</v>
      </c>
      <c r="P2" s="684">
        <v>14</v>
      </c>
      <c r="Q2" s="684">
        <v>15</v>
      </c>
      <c r="R2" s="684">
        <v>16</v>
      </c>
      <c r="S2" s="684">
        <v>17</v>
      </c>
      <c r="T2" s="684">
        <v>18</v>
      </c>
      <c r="U2" s="684">
        <v>19</v>
      </c>
      <c r="V2" s="684">
        <v>20</v>
      </c>
      <c r="W2" s="684">
        <v>21</v>
      </c>
      <c r="X2" s="684">
        <v>22</v>
      </c>
      <c r="Y2" s="684">
        <v>23</v>
      </c>
      <c r="Z2" s="684">
        <v>24</v>
      </c>
      <c r="AA2" s="1036">
        <v>25</v>
      </c>
      <c r="AB2" s="1008" t="s">
        <v>1025</v>
      </c>
    </row>
    <row r="3" spans="1:28" ht="17" customHeight="1" thickBot="1" x14ac:dyDescent="0.4">
      <c r="A3" s="1611" t="s">
        <v>1024</v>
      </c>
      <c r="B3" s="1035"/>
      <c r="C3" s="65">
        <f>'Operating Account'!F$5</f>
        <v>2025</v>
      </c>
      <c r="D3" s="65">
        <f>'Operating Account'!G$5</f>
        <v>2026</v>
      </c>
      <c r="E3" s="65">
        <f>'Operating Account'!H$5</f>
        <v>2027</v>
      </c>
      <c r="F3" s="65">
        <f>'Operating Account'!I$5</f>
        <v>2028</v>
      </c>
      <c r="G3" s="65">
        <f>'Operating Account'!J$5</f>
        <v>2029</v>
      </c>
      <c r="H3" s="65">
        <f>'Operating Account'!K$5</f>
        <v>2030</v>
      </c>
      <c r="I3" s="65">
        <f>'Operating Account'!L$5</f>
        <v>2031</v>
      </c>
      <c r="J3" s="65">
        <f>'Operating Account'!M$5</f>
        <v>2032</v>
      </c>
      <c r="K3" s="65">
        <f>'Operating Account'!N$5</f>
        <v>2033</v>
      </c>
      <c r="L3" s="65">
        <f>'Operating Account'!O$5</f>
        <v>2034</v>
      </c>
      <c r="M3" s="65">
        <f>'Operating Account'!P$5</f>
        <v>2035</v>
      </c>
      <c r="N3" s="65">
        <f>'Operating Account'!Q$5</f>
        <v>2036</v>
      </c>
      <c r="O3" s="65">
        <f>'Operating Account'!R$5</f>
        <v>2037</v>
      </c>
      <c r="P3" s="65">
        <f>'Operating Account'!S$5</f>
        <v>2038</v>
      </c>
      <c r="Q3" s="65">
        <f>'Operating Account'!T$5</f>
        <v>2039</v>
      </c>
      <c r="R3" s="65">
        <f>'Operating Account'!U$5</f>
        <v>2040</v>
      </c>
      <c r="S3" s="65">
        <f>'Operating Account'!V$5</f>
        <v>2041</v>
      </c>
      <c r="T3" s="65">
        <f>'Operating Account'!W$5</f>
        <v>2042</v>
      </c>
      <c r="U3" s="65">
        <f>'Operating Account'!X$5</f>
        <v>2043</v>
      </c>
      <c r="V3" s="65">
        <f>'Operating Account'!Y$5</f>
        <v>2044</v>
      </c>
      <c r="W3" s="65">
        <f>'Operating Account'!Z$5</f>
        <v>2045</v>
      </c>
      <c r="X3" s="65">
        <f>'Operating Account'!AA$5</f>
        <v>2046</v>
      </c>
      <c r="Y3" s="65">
        <f>'Operating Account'!AB$5</f>
        <v>2047</v>
      </c>
      <c r="Z3" s="65">
        <f>'Operating Account'!AC$5</f>
        <v>2048</v>
      </c>
      <c r="AA3" s="1034">
        <f>'Operating Account'!AD$5</f>
        <v>2049</v>
      </c>
      <c r="AB3" s="1003" t="s">
        <v>1023</v>
      </c>
    </row>
    <row r="4" spans="1:28" ht="15" thickTop="1" x14ac:dyDescent="0.35">
      <c r="A4" s="1610" t="s">
        <v>1039</v>
      </c>
      <c r="B4" s="1609">
        <v>0</v>
      </c>
      <c r="C4" s="1608">
        <f>'Operating Account'!F6</f>
        <v>4466</v>
      </c>
      <c r="D4" s="1607">
        <f>'Operating Account'!G6</f>
        <v>4604.4459999999999</v>
      </c>
      <c r="E4" s="1607">
        <f>'Operating Account'!H6</f>
        <v>4747.1838259999995</v>
      </c>
      <c r="F4" s="1607">
        <f>'Operating Account'!I6</f>
        <v>4894.3465246059986</v>
      </c>
      <c r="G4" s="1607">
        <f>'Operating Account'!J6</f>
        <v>5046.0712668687838</v>
      </c>
      <c r="H4" s="1607">
        <f>'Operating Account'!K6</f>
        <v>5202.4994761417156</v>
      </c>
      <c r="I4" s="1607">
        <f>'Operating Account'!L6</f>
        <v>5363.7769599021085</v>
      </c>
      <c r="J4" s="1607">
        <f>'Operating Account'!M6</f>
        <v>5530.0540456590734</v>
      </c>
      <c r="K4" s="1607">
        <f>'Operating Account'!N6</f>
        <v>5701.485721074504</v>
      </c>
      <c r="L4" s="1607">
        <f>'Operating Account'!O6</f>
        <v>5878.231778427813</v>
      </c>
      <c r="M4" s="1607">
        <f>'Operating Account'!P6</f>
        <v>6060.4569635590751</v>
      </c>
      <c r="N4" s="1607">
        <f>'Operating Account'!Q6</f>
        <v>6248.3311294294062</v>
      </c>
      <c r="O4" s="1607">
        <f>'Operating Account'!R6</f>
        <v>6442.0293944417172</v>
      </c>
      <c r="P4" s="1607">
        <f>'Operating Account'!S6</f>
        <v>6641.7323056694095</v>
      </c>
      <c r="Q4" s="1607">
        <f>'Operating Account'!T6</f>
        <v>6847.6260071451607</v>
      </c>
      <c r="R4" s="1607">
        <f>'Operating Account'!U6</f>
        <v>7059.9024133666599</v>
      </c>
      <c r="S4" s="1607">
        <f>'Operating Account'!V6</f>
        <v>7278.7593881810253</v>
      </c>
      <c r="T4" s="1607">
        <f>'Operating Account'!W6</f>
        <v>7504.4009292146366</v>
      </c>
      <c r="U4" s="1607">
        <f>'Operating Account'!X6</f>
        <v>7737.0373580202895</v>
      </c>
      <c r="V4" s="1607">
        <f>'Operating Account'!Y6</f>
        <v>7976.8855161189176</v>
      </c>
      <c r="W4" s="1607">
        <f>'Operating Account'!Z6</f>
        <v>8224.1689671186032</v>
      </c>
      <c r="X4" s="1607">
        <f>'Operating Account'!AA6</f>
        <v>8479.1182050992793</v>
      </c>
      <c r="Y4" s="1607">
        <f>'Operating Account'!AB6</f>
        <v>8741.9708694573565</v>
      </c>
      <c r="Z4" s="1607">
        <f>'Operating Account'!AC6</f>
        <v>9012.9719664105342</v>
      </c>
      <c r="AA4" s="1606">
        <f>'Operating Account'!AD6</f>
        <v>9292.3740973692602</v>
      </c>
      <c r="AB4" s="1605">
        <f t="shared" ref="AB4:AB10" si="0">SUM(B4:AA4)</f>
        <v>164981.86110928131</v>
      </c>
    </row>
    <row r="5" spans="1:28" x14ac:dyDescent="0.35">
      <c r="A5" s="1604" t="s">
        <v>1038</v>
      </c>
      <c r="B5" s="1602">
        <v>0</v>
      </c>
      <c r="C5" s="1601">
        <f>'Operating Account'!F7</f>
        <v>2233</v>
      </c>
      <c r="D5" s="1600">
        <f>'Operating Account'!G7</f>
        <v>2302.223</v>
      </c>
      <c r="E5" s="1600">
        <f>'Operating Account'!H7</f>
        <v>2373.5919129999997</v>
      </c>
      <c r="F5" s="1600">
        <f>'Operating Account'!I7</f>
        <v>2447.1732623029993</v>
      </c>
      <c r="G5" s="1600">
        <f>'Operating Account'!J7</f>
        <v>2523.0356334343919</v>
      </c>
      <c r="H5" s="1600">
        <f>'Operating Account'!K7</f>
        <v>2601.2497380708578</v>
      </c>
      <c r="I5" s="1600">
        <f>'Operating Account'!L7</f>
        <v>2681.8884799510543</v>
      </c>
      <c r="J5" s="1600">
        <f>'Operating Account'!M7</f>
        <v>2765.0270228295367</v>
      </c>
      <c r="K5" s="1600">
        <f>'Operating Account'!N7</f>
        <v>2850.742860537252</v>
      </c>
      <c r="L5" s="1600">
        <f>'Operating Account'!O7</f>
        <v>2939.1158892139065</v>
      </c>
      <c r="M5" s="1600">
        <f>'Operating Account'!P7</f>
        <v>3030.2284817795376</v>
      </c>
      <c r="N5" s="1600">
        <f>'Operating Account'!Q7</f>
        <v>3124.1655647147031</v>
      </c>
      <c r="O5" s="1600">
        <f>'Operating Account'!R7</f>
        <v>3221.0146972208586</v>
      </c>
      <c r="P5" s="1600">
        <f>'Operating Account'!S7</f>
        <v>3320.8661528347047</v>
      </c>
      <c r="Q5" s="1600">
        <f>'Operating Account'!T7</f>
        <v>3423.8130035725803</v>
      </c>
      <c r="R5" s="1600">
        <f>'Operating Account'!U7</f>
        <v>3529.9512066833299</v>
      </c>
      <c r="S5" s="1600">
        <f>'Operating Account'!V7</f>
        <v>3639.3796940905127</v>
      </c>
      <c r="T5" s="1600">
        <f>'Operating Account'!W7</f>
        <v>3752.2004646073183</v>
      </c>
      <c r="U5" s="1600">
        <f>'Operating Account'!X7</f>
        <v>3868.5186790101448</v>
      </c>
      <c r="V5" s="1600">
        <f>'Operating Account'!Y7</f>
        <v>3988.4427580594588</v>
      </c>
      <c r="W5" s="1600">
        <f>'Operating Account'!Z7</f>
        <v>4112.0844835593016</v>
      </c>
      <c r="X5" s="1600">
        <f>'Operating Account'!AA7</f>
        <v>4239.5591025496396</v>
      </c>
      <c r="Y5" s="1600">
        <f>'Operating Account'!AB7</f>
        <v>4370.9854347286782</v>
      </c>
      <c r="Z5" s="1600">
        <f>'Operating Account'!AC7</f>
        <v>4506.4859832052671</v>
      </c>
      <c r="AA5" s="1599">
        <f>'Operating Account'!AD7</f>
        <v>4646.1870486846301</v>
      </c>
      <c r="AB5" s="1598">
        <f t="shared" si="0"/>
        <v>82490.930554640654</v>
      </c>
    </row>
    <row r="6" spans="1:28" ht="15" thickBot="1" x14ac:dyDescent="0.4">
      <c r="A6" s="1603" t="s">
        <v>1037</v>
      </c>
      <c r="B6" s="1602">
        <v>0</v>
      </c>
      <c r="C6" s="1601">
        <f>'Operating Account'!F8</f>
        <v>0</v>
      </c>
      <c r="D6" s="1600">
        <f>'Operating Account'!G8</f>
        <v>0</v>
      </c>
      <c r="E6" s="1600">
        <f>'Operating Account'!H8</f>
        <v>0</v>
      </c>
      <c r="F6" s="1600">
        <f>'Operating Account'!I8</f>
        <v>0</v>
      </c>
      <c r="G6" s="1600">
        <f>'Operating Account'!J8</f>
        <v>0</v>
      </c>
      <c r="H6" s="1600">
        <f>'Operating Account'!K8</f>
        <v>0</v>
      </c>
      <c r="I6" s="1600">
        <f>'Operating Account'!L8</f>
        <v>0</v>
      </c>
      <c r="J6" s="1600">
        <f>'Operating Account'!M8</f>
        <v>0</v>
      </c>
      <c r="K6" s="1600">
        <f>'Operating Account'!N8</f>
        <v>0</v>
      </c>
      <c r="L6" s="1600">
        <f>'Operating Account'!O8</f>
        <v>0</v>
      </c>
      <c r="M6" s="1600">
        <f>'Operating Account'!P8</f>
        <v>0</v>
      </c>
      <c r="N6" s="1600">
        <f>'Operating Account'!Q8</f>
        <v>0</v>
      </c>
      <c r="O6" s="1600">
        <f>'Operating Account'!R8</f>
        <v>0</v>
      </c>
      <c r="P6" s="1600">
        <f>'Operating Account'!S8</f>
        <v>0</v>
      </c>
      <c r="Q6" s="1600">
        <f>'Operating Account'!T8</f>
        <v>0</v>
      </c>
      <c r="R6" s="1600">
        <f>'Operating Account'!U8</f>
        <v>0</v>
      </c>
      <c r="S6" s="1600">
        <f>'Operating Account'!V8</f>
        <v>0</v>
      </c>
      <c r="T6" s="1600">
        <f>'Operating Account'!W8</f>
        <v>0</v>
      </c>
      <c r="U6" s="1600">
        <f>'Operating Account'!X8</f>
        <v>0</v>
      </c>
      <c r="V6" s="1600">
        <f>'Operating Account'!Y8</f>
        <v>0</v>
      </c>
      <c r="W6" s="1600">
        <f>'Operating Account'!Z8</f>
        <v>0</v>
      </c>
      <c r="X6" s="1600">
        <f>'Operating Account'!AA8</f>
        <v>0</v>
      </c>
      <c r="Y6" s="1600">
        <f>'Operating Account'!AB8</f>
        <v>0</v>
      </c>
      <c r="Z6" s="1600">
        <f>'Operating Account'!AC8</f>
        <v>0</v>
      </c>
      <c r="AA6" s="1599">
        <f>'Operating Account'!AD8</f>
        <v>0</v>
      </c>
      <c r="AB6" s="1598">
        <f t="shared" si="0"/>
        <v>0</v>
      </c>
    </row>
    <row r="7" spans="1:28" ht="16.5" thickBot="1" x14ac:dyDescent="0.55000000000000004">
      <c r="A7" s="1597" t="s">
        <v>1036</v>
      </c>
      <c r="B7" s="1596">
        <f t="shared" ref="B7:AA7" si="1">SUM(B4:B6)</f>
        <v>0</v>
      </c>
      <c r="C7" s="1595">
        <f t="shared" si="1"/>
        <v>6699</v>
      </c>
      <c r="D7" s="1594">
        <f t="shared" si="1"/>
        <v>6906.6689999999999</v>
      </c>
      <c r="E7" s="1594">
        <f t="shared" si="1"/>
        <v>7120.7757389999988</v>
      </c>
      <c r="F7" s="1594">
        <f t="shared" si="1"/>
        <v>7341.519786908998</v>
      </c>
      <c r="G7" s="1594">
        <f t="shared" si="1"/>
        <v>7569.1069003031753</v>
      </c>
      <c r="H7" s="1594">
        <f t="shared" si="1"/>
        <v>7803.7492142125739</v>
      </c>
      <c r="I7" s="1594">
        <f t="shared" si="1"/>
        <v>8045.6654398531628</v>
      </c>
      <c r="J7" s="1594">
        <f t="shared" si="1"/>
        <v>8295.0810684886092</v>
      </c>
      <c r="K7" s="1594">
        <f t="shared" si="1"/>
        <v>8552.2285816117565</v>
      </c>
      <c r="L7" s="1594">
        <f t="shared" si="1"/>
        <v>8817.3476676417195</v>
      </c>
      <c r="M7" s="1594">
        <f t="shared" si="1"/>
        <v>9090.6854453386131</v>
      </c>
      <c r="N7" s="1594">
        <f t="shared" si="1"/>
        <v>9372.4966941441089</v>
      </c>
      <c r="O7" s="1594">
        <f t="shared" si="1"/>
        <v>9663.0440916625757</v>
      </c>
      <c r="P7" s="1594">
        <f t="shared" si="1"/>
        <v>9962.5984585041151</v>
      </c>
      <c r="Q7" s="1594">
        <f t="shared" si="1"/>
        <v>10271.439010717741</v>
      </c>
      <c r="R7" s="1594">
        <f t="shared" si="1"/>
        <v>10589.853620049989</v>
      </c>
      <c r="S7" s="1594">
        <f t="shared" si="1"/>
        <v>10918.139082271538</v>
      </c>
      <c r="T7" s="1594">
        <f t="shared" si="1"/>
        <v>11256.601393821955</v>
      </c>
      <c r="U7" s="1594">
        <f t="shared" si="1"/>
        <v>11605.556037030434</v>
      </c>
      <c r="V7" s="1594">
        <f t="shared" si="1"/>
        <v>11965.328274178377</v>
      </c>
      <c r="W7" s="1594">
        <f t="shared" si="1"/>
        <v>12336.253450677905</v>
      </c>
      <c r="X7" s="1594">
        <f t="shared" si="1"/>
        <v>12718.677307648919</v>
      </c>
      <c r="Y7" s="1594">
        <f t="shared" si="1"/>
        <v>13112.956304186035</v>
      </c>
      <c r="Z7" s="1594">
        <f t="shared" si="1"/>
        <v>13519.4579496158</v>
      </c>
      <c r="AA7" s="1593">
        <f t="shared" si="1"/>
        <v>13938.561146053889</v>
      </c>
      <c r="AB7" s="1592">
        <f t="shared" si="0"/>
        <v>247472.79166392199</v>
      </c>
    </row>
    <row r="8" spans="1:28" x14ac:dyDescent="0.35">
      <c r="A8" s="1591" t="s">
        <v>1035</v>
      </c>
      <c r="B8" s="1589">
        <f>-'Hipóteses xerais (2)'!$F$35</f>
        <v>-70150</v>
      </c>
      <c r="C8" s="1588"/>
      <c r="D8" s="1587"/>
      <c r="E8" s="1587"/>
      <c r="F8" s="1587"/>
      <c r="G8" s="1587"/>
      <c r="H8" s="1587"/>
      <c r="I8" s="1587"/>
      <c r="J8" s="1587"/>
      <c r="K8" s="1587"/>
      <c r="L8" s="1587"/>
      <c r="M8" s="1587"/>
      <c r="N8" s="1587"/>
      <c r="O8" s="1587"/>
      <c r="P8" s="1587"/>
      <c r="Q8" s="1587"/>
      <c r="R8" s="1587"/>
      <c r="S8" s="1587"/>
      <c r="T8" s="1587"/>
      <c r="U8" s="1587"/>
      <c r="V8" s="1587"/>
      <c r="W8" s="1587"/>
      <c r="X8" s="1587"/>
      <c r="Y8" s="1587"/>
      <c r="Z8" s="1587"/>
      <c r="AA8" s="1586"/>
      <c r="AB8" s="1585">
        <f t="shared" si="0"/>
        <v>-70150</v>
      </c>
    </row>
    <row r="9" spans="1:28" ht="15" thickBot="1" x14ac:dyDescent="0.4">
      <c r="A9" s="1590" t="s">
        <v>1034</v>
      </c>
      <c r="B9" s="1589">
        <v>0</v>
      </c>
      <c r="C9" s="1588">
        <f>-'Operating Account'!F13</f>
        <v>-2470.4699999999998</v>
      </c>
      <c r="D9" s="1587">
        <f>-'Operating Account'!G13</f>
        <v>-2460</v>
      </c>
      <c r="E9" s="1587">
        <f>-'Operating Account'!H13</f>
        <v>-2574.5599999999995</v>
      </c>
      <c r="F9" s="1587">
        <f>-'Operating Account'!I13</f>
        <v>-2692.7859200000003</v>
      </c>
      <c r="G9" s="1587">
        <f>-'Operating Account'!J13</f>
        <v>-2814.7950694400001</v>
      </c>
      <c r="H9" s="1587">
        <f>-'Operating Account'!K13</f>
        <v>-2940.7085116620801</v>
      </c>
      <c r="I9" s="1587">
        <f>-'Operating Account'!L13</f>
        <v>-3070.6511840352669</v>
      </c>
      <c r="J9" s="1587">
        <f>-'Operating Account'!M13</f>
        <v>-3204.7520219243952</v>
      </c>
      <c r="K9" s="1587">
        <f>-'Operating Account'!N13</f>
        <v>-3343.1440866259768</v>
      </c>
      <c r="L9" s="1587">
        <f>-'Operating Account'!O13</f>
        <v>-3485.9646973980075</v>
      </c>
      <c r="M9" s="1587">
        <f>-'Operating Account'!P13</f>
        <v>-3633.3555677147442</v>
      </c>
      <c r="N9" s="1587">
        <f>-'Operating Account'!Q13</f>
        <v>-3785.4629458816171</v>
      </c>
      <c r="O9" s="1587">
        <f>-'Operating Account'!R13</f>
        <v>-3942.4377601498277</v>
      </c>
      <c r="P9" s="1587">
        <f>-'Operating Account'!S13</f>
        <v>-4104.4357684746237</v>
      </c>
      <c r="Q9" s="1587">
        <f>-'Operating Account'!T13</f>
        <v>-4271.6177130658116</v>
      </c>
      <c r="R9" s="1587">
        <f>-'Operating Account'!U13</f>
        <v>-4444.1494798839176</v>
      </c>
      <c r="S9" s="1587">
        <f>-'Operating Account'!V13</f>
        <v>-4622.2022632402031</v>
      </c>
      <c r="T9" s="1587">
        <f>-'Operating Account'!W13</f>
        <v>-4805.9527356638891</v>
      </c>
      <c r="U9" s="1587">
        <f>-'Operating Account'!X13</f>
        <v>-4995.5832232051353</v>
      </c>
      <c r="V9" s="1587">
        <f>-'Operating Account'!Y13</f>
        <v>-5191.2818863476987</v>
      </c>
      <c r="W9" s="1587">
        <f>-'Operating Account'!Z13</f>
        <v>-5393.242906710826</v>
      </c>
      <c r="X9" s="1587">
        <f>-'Operating Account'!AA13</f>
        <v>-5601.6666797255721</v>
      </c>
      <c r="Y9" s="1587">
        <f>-'Operating Account'!AB13</f>
        <v>-5816.7600134767908</v>
      </c>
      <c r="Z9" s="1587">
        <f>-'Operating Account'!AC13</f>
        <v>-6038.7363339080466</v>
      </c>
      <c r="AA9" s="1586">
        <f>-'Operating Account'!AD13</f>
        <v>-6267.8158965931061</v>
      </c>
      <c r="AB9" s="1585">
        <f t="shared" si="0"/>
        <v>-101972.53266512754</v>
      </c>
    </row>
    <row r="10" spans="1:28" ht="16.5" thickBot="1" x14ac:dyDescent="0.4">
      <c r="A10" s="1584" t="s">
        <v>1033</v>
      </c>
      <c r="B10" s="1583">
        <f t="shared" ref="B10:AA10" si="2">SUM(B8:B9)</f>
        <v>-70150</v>
      </c>
      <c r="C10" s="1582">
        <f t="shared" si="2"/>
        <v>-2470.4699999999998</v>
      </c>
      <c r="D10" s="1581">
        <f t="shared" si="2"/>
        <v>-2460</v>
      </c>
      <c r="E10" s="1581">
        <f t="shared" si="2"/>
        <v>-2574.5599999999995</v>
      </c>
      <c r="F10" s="1581">
        <f t="shared" si="2"/>
        <v>-2692.7859200000003</v>
      </c>
      <c r="G10" s="1581">
        <f t="shared" si="2"/>
        <v>-2814.7950694400001</v>
      </c>
      <c r="H10" s="1581">
        <f t="shared" si="2"/>
        <v>-2940.7085116620801</v>
      </c>
      <c r="I10" s="1581">
        <f t="shared" si="2"/>
        <v>-3070.6511840352669</v>
      </c>
      <c r="J10" s="1581">
        <f t="shared" si="2"/>
        <v>-3204.7520219243952</v>
      </c>
      <c r="K10" s="1581">
        <f t="shared" si="2"/>
        <v>-3343.1440866259768</v>
      </c>
      <c r="L10" s="1581">
        <f t="shared" si="2"/>
        <v>-3485.9646973980075</v>
      </c>
      <c r="M10" s="1581">
        <f t="shared" si="2"/>
        <v>-3633.3555677147442</v>
      </c>
      <c r="N10" s="1581">
        <f t="shared" si="2"/>
        <v>-3785.4629458816171</v>
      </c>
      <c r="O10" s="1581">
        <f t="shared" si="2"/>
        <v>-3942.4377601498277</v>
      </c>
      <c r="P10" s="1581">
        <f t="shared" si="2"/>
        <v>-4104.4357684746237</v>
      </c>
      <c r="Q10" s="1581">
        <f t="shared" si="2"/>
        <v>-4271.6177130658116</v>
      </c>
      <c r="R10" s="1581">
        <f t="shared" si="2"/>
        <v>-4444.1494798839176</v>
      </c>
      <c r="S10" s="1581">
        <f t="shared" si="2"/>
        <v>-4622.2022632402031</v>
      </c>
      <c r="T10" s="1581">
        <f t="shared" si="2"/>
        <v>-4805.9527356638891</v>
      </c>
      <c r="U10" s="1581">
        <f t="shared" si="2"/>
        <v>-4995.5832232051353</v>
      </c>
      <c r="V10" s="1581">
        <f t="shared" si="2"/>
        <v>-5191.2818863476987</v>
      </c>
      <c r="W10" s="1581">
        <f t="shared" si="2"/>
        <v>-5393.242906710826</v>
      </c>
      <c r="X10" s="1581">
        <f t="shared" si="2"/>
        <v>-5601.6666797255721</v>
      </c>
      <c r="Y10" s="1581">
        <f t="shared" si="2"/>
        <v>-5816.7600134767908</v>
      </c>
      <c r="Z10" s="1581">
        <f t="shared" si="2"/>
        <v>-6038.7363339080466</v>
      </c>
      <c r="AA10" s="1580">
        <f t="shared" si="2"/>
        <v>-6267.8158965931061</v>
      </c>
      <c r="AB10" s="1579">
        <f t="shared" si="0"/>
        <v>-172122.53266512754</v>
      </c>
    </row>
    <row r="11" spans="1:28" ht="15" thickBot="1" x14ac:dyDescent="0.4">
      <c r="A11" s="171"/>
      <c r="AA11" s="694"/>
      <c r="AB11" s="1014"/>
    </row>
    <row r="12" spans="1:28" ht="17" thickTop="1" thickBot="1" x14ac:dyDescent="0.55000000000000004">
      <c r="A12" s="1578" t="s">
        <v>1032</v>
      </c>
      <c r="B12" s="1577">
        <f t="shared" ref="B12:AA12" si="3">B7+B10</f>
        <v>-70150</v>
      </c>
      <c r="C12" s="1576">
        <f t="shared" si="3"/>
        <v>4228.5300000000007</v>
      </c>
      <c r="D12" s="1575">
        <f t="shared" si="3"/>
        <v>4446.6689999999999</v>
      </c>
      <c r="E12" s="1575">
        <f t="shared" si="3"/>
        <v>4546.2157389999993</v>
      </c>
      <c r="F12" s="1575">
        <f t="shared" si="3"/>
        <v>4648.7338669089977</v>
      </c>
      <c r="G12" s="1575">
        <f t="shared" si="3"/>
        <v>4754.3118308631747</v>
      </c>
      <c r="H12" s="1575">
        <f t="shared" si="3"/>
        <v>4863.0407025504937</v>
      </c>
      <c r="I12" s="1575">
        <f t="shared" si="3"/>
        <v>4975.0142558178959</v>
      </c>
      <c r="J12" s="1575">
        <f t="shared" si="3"/>
        <v>5090.329046564214</v>
      </c>
      <c r="K12" s="1575">
        <f t="shared" si="3"/>
        <v>5209.0844949857801</v>
      </c>
      <c r="L12" s="1575">
        <f t="shared" si="3"/>
        <v>5331.3829702437124</v>
      </c>
      <c r="M12" s="1575">
        <f t="shared" si="3"/>
        <v>5457.3298776238689</v>
      </c>
      <c r="N12" s="1575">
        <f t="shared" si="3"/>
        <v>5587.0337482624918</v>
      </c>
      <c r="O12" s="1575">
        <f t="shared" si="3"/>
        <v>5720.6063315127485</v>
      </c>
      <c r="P12" s="1575">
        <f t="shared" si="3"/>
        <v>5858.1626900294914</v>
      </c>
      <c r="Q12" s="1575">
        <f t="shared" si="3"/>
        <v>5999.8212976519289</v>
      </c>
      <c r="R12" s="1575">
        <f t="shared" si="3"/>
        <v>6145.7041401660717</v>
      </c>
      <c r="S12" s="1575">
        <f t="shared" si="3"/>
        <v>6295.9368190313353</v>
      </c>
      <c r="T12" s="1575">
        <f t="shared" si="3"/>
        <v>6450.6486581580657</v>
      </c>
      <c r="U12" s="1575">
        <f t="shared" si="3"/>
        <v>6609.9728138252985</v>
      </c>
      <c r="V12" s="1575">
        <f t="shared" si="3"/>
        <v>6774.0463878306782</v>
      </c>
      <c r="W12" s="1575">
        <f t="shared" si="3"/>
        <v>6943.0105439670788</v>
      </c>
      <c r="X12" s="1575">
        <f t="shared" si="3"/>
        <v>7117.0106279233469</v>
      </c>
      <c r="Y12" s="1575">
        <f t="shared" si="3"/>
        <v>7296.1962907092438</v>
      </c>
      <c r="Z12" s="1575">
        <f t="shared" si="3"/>
        <v>7480.7216157077537</v>
      </c>
      <c r="AA12" s="1574">
        <f t="shared" si="3"/>
        <v>7670.7452494607833</v>
      </c>
      <c r="AB12" s="1573">
        <f>SUM(B12:AA12)</f>
        <v>75350.258998794452</v>
      </c>
    </row>
    <row r="13" spans="1:28" ht="15" thickBot="1" x14ac:dyDescent="0.4">
      <c r="A13" s="1572" t="s">
        <v>1031</v>
      </c>
      <c r="B13" s="1571">
        <f>B12/((1+'Hipóteses xerais (2)'!$C$33)^B$2)</f>
        <v>-70150</v>
      </c>
      <c r="C13" s="1571">
        <f>C12/((1+'Hipóteses xerais (2)'!$C$33)^C$2)</f>
        <v>4095.2302551934536</v>
      </c>
      <c r="D13" s="1571">
        <f>D12/((1+'Hipóteses xerais (2)'!$C$33)^D$2)</f>
        <v>4170.7352319921747</v>
      </c>
      <c r="E13" s="1571">
        <f>E12/((1+'Hipóteses xerais (2)'!$C$33)^E$2)</f>
        <v>4129.6834960507049</v>
      </c>
      <c r="F13" s="1571">
        <f>F12/((1+'Hipóteses xerais (2)'!$C$33)^F$2)</f>
        <v>4089.6893454553779</v>
      </c>
      <c r="G13" s="1571">
        <f>G12/((1+'Hipóteses xerais (2)'!$C$33)^G$2)</f>
        <v>4050.7198497351342</v>
      </c>
      <c r="H13" s="1571">
        <f>H12/((1+'Hipóteses xerais (2)'!$C$33)^H$2)</f>
        <v>4012.7431158735294</v>
      </c>
      <c r="I13" s="1571">
        <f>I12/((1+'Hipóteses xerais (2)'!$C$33)^I$2)</f>
        <v>3975.7282556050882</v>
      </c>
      <c r="J13" s="1571">
        <f>J12/((1+'Hipóteses xerais (2)'!$C$33)^J$2)</f>
        <v>3939.6453537426328</v>
      </c>
      <c r="K13" s="1571">
        <f>K12/((1+'Hipóteses xerais (2)'!$C$33)^K$2)</f>
        <v>3904.4654375030295</v>
      </c>
      <c r="L13" s="1571">
        <f>L12/((1+'Hipóteses xerais (2)'!$C$33)^L$2)</f>
        <v>3870.1604467999155</v>
      </c>
      <c r="M13" s="1571">
        <f>M12/((1+'Hipóteses xerais (2)'!$C$33)^M$2)</f>
        <v>3836.7032054729152</v>
      </c>
      <c r="N13" s="1571">
        <f>N12/((1+'Hipóteses xerais (2)'!$C$33)^N$2)</f>
        <v>3804.0673934238193</v>
      </c>
      <c r="O13" s="1571">
        <f>O12/((1+'Hipóteses xerais (2)'!$C$33)^O$2)</f>
        <v>3772.2275196311434</v>
      </c>
      <c r="P13" s="1571">
        <f>P12/((1+'Hipóteses xerais (2)'!$C$33)^P$2)</f>
        <v>3741.1588960153572</v>
      </c>
      <c r="Q13" s="1571">
        <f>Q12/((1+'Hipóteses xerais (2)'!$C$33)^Q$2)</f>
        <v>3710.8376121280039</v>
      </c>
      <c r="R13" s="1571">
        <f>R12/((1+'Hipóteses xerais (2)'!$C$33)^R$2)</f>
        <v>3681.2405106386991</v>
      </c>
      <c r="S13" s="1571">
        <f>S12/((1+'Hipóteses xerais (2)'!$C$33)^S$2)</f>
        <v>3652.3451635948772</v>
      </c>
      <c r="T13" s="1571">
        <f>T12/((1+'Hipóteses xerais (2)'!$C$33)^T$2)</f>
        <v>3624.1298494299267</v>
      </c>
      <c r="U13" s="1571">
        <f>U12/((1+'Hipóteses xerais (2)'!$C$33)^U$2)</f>
        <v>3596.5735306961087</v>
      </c>
      <c r="V13" s="1571">
        <f>V12/((1+'Hipóteses xerais (2)'!$C$33)^V$2)</f>
        <v>3569.655832499433</v>
      </c>
      <c r="W13" s="1571">
        <f>W12/((1+'Hipóteses xerais (2)'!$C$33)^W$2)</f>
        <v>3543.3570216143271</v>
      </c>
      <c r="X13" s="1571">
        <f>X12/((1+'Hipóteses xerais (2)'!$C$33)^X$2)</f>
        <v>3517.657986256721</v>
      </c>
      <c r="Y13" s="1571">
        <f>Y12/((1+'Hipóteses xerais (2)'!$C$33)^Y$2)</f>
        <v>3492.5402164947272</v>
      </c>
      <c r="Z13" s="1571">
        <f>Z12/((1+'Hipóteses xerais (2)'!$C$33)^Z$2)</f>
        <v>3467.9857852768851</v>
      </c>
      <c r="AA13" s="1570">
        <f>AA12/((1+'Hipóteses xerais (2)'!$C$33)^AA$2)</f>
        <v>3443.9773300584375</v>
      </c>
      <c r="AB13" s="1569">
        <f>SUM(B13:AA13)</f>
        <v>24543.258641182427</v>
      </c>
    </row>
    <row r="14" spans="1:28" ht="15" thickTop="1" x14ac:dyDescent="0.35"/>
    <row r="15" spans="1:28" ht="15" thickBot="1" x14ac:dyDescent="0.4"/>
    <row r="16" spans="1:28" ht="15.5" thickTop="1" thickBot="1" x14ac:dyDescent="0.4">
      <c r="A16" s="947" t="s">
        <v>1030</v>
      </c>
      <c r="B16" s="952">
        <f>IRR(B12:AA12)</f>
        <v>5.8845201157594174E-2</v>
      </c>
    </row>
    <row r="17" spans="1:2" ht="15.5" thickTop="1" thickBot="1" x14ac:dyDescent="0.4">
      <c r="A17" s="947" t="s">
        <v>988</v>
      </c>
      <c r="B17" s="952">
        <f>MIRR(B12:AA12,'Hipóteses xerais (2)'!$C$33,'Hipóteses xerais (2)'!$C$33)</f>
        <v>4.5015534666871249E-2</v>
      </c>
    </row>
    <row r="18" spans="1:2" ht="15.5" thickTop="1" thickBot="1" x14ac:dyDescent="0.4">
      <c r="A18" s="947" t="s">
        <v>1029</v>
      </c>
      <c r="B18" s="948">
        <f>NPV(5%,B12:AA12)</f>
        <v>6766.8236975102991</v>
      </c>
    </row>
    <row r="19" spans="1:2" ht="15.5" thickTop="1" thickBot="1" x14ac:dyDescent="0.4">
      <c r="A19" s="947" t="s">
        <v>986</v>
      </c>
      <c r="B19" s="1568">
        <f>-$B$13/AVERAGE(C13:AA13)</f>
        <v>18.520325788400822</v>
      </c>
    </row>
    <row r="20" spans="1:2" ht="15" thickTop="1" x14ac:dyDescent="0.35">
      <c r="A20" s="945" t="s">
        <v>984</v>
      </c>
      <c r="B20" s="1009">
        <f>'Hipóteses xerais (2)'!$F$35</f>
        <v>70150</v>
      </c>
    </row>
    <row r="21" spans="1:2" x14ac:dyDescent="0.35">
      <c r="A21" s="945" t="s">
        <v>1028</v>
      </c>
      <c r="B21" s="944">
        <f>IF('Hipóteses xerais (2)'!$E$64="Si",'Hipóteses xerais (2)'!$C$62,0)</f>
        <v>42000</v>
      </c>
    </row>
    <row r="22" spans="1:2" ht="15" thickBot="1" x14ac:dyDescent="0.4">
      <c r="A22" s="943" t="s">
        <v>1027</v>
      </c>
      <c r="B22" s="942">
        <f>'x Financiamento'!$E$11</f>
        <v>0</v>
      </c>
    </row>
    <row r="23" spans="1:2" ht="15.5" thickTop="1" thickBot="1" x14ac:dyDescent="0.4">
      <c r="A23" s="692" t="s">
        <v>981</v>
      </c>
      <c r="B23" s="739">
        <f>SUM(B20:B22)</f>
        <v>112150</v>
      </c>
    </row>
    <row r="24" spans="1:2" ht="15.5" thickTop="1" thickBot="1" x14ac:dyDescent="0.4">
      <c r="A24" s="692" t="s">
        <v>980</v>
      </c>
      <c r="B24" s="739">
        <f>'Hipóteses xerais (2)'!$C$91</f>
        <v>84150</v>
      </c>
    </row>
    <row r="25" spans="1:2" ht="15" thickTop="1" x14ac:dyDescent="0.35">
      <c r="A25" s="941" t="s">
        <v>979</v>
      </c>
      <c r="B25" s="695">
        <f>'Hipóteses xerais (2)'!$C$19</f>
        <v>84000</v>
      </c>
    </row>
    <row r="26" spans="1:2" ht="15" thickBot="1" x14ac:dyDescent="0.4">
      <c r="A26" s="940" t="s">
        <v>978</v>
      </c>
      <c r="B26" s="939">
        <f>'Hipóteses xerais (2)'!$C$74</f>
        <v>150</v>
      </c>
    </row>
    <row r="27" spans="1:2" ht="15" thickTop="1" x14ac:dyDescent="0.35"/>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6E750-2244-4EE7-BECF-B81A88096185}">
  <dimension ref="A1:AC34"/>
  <sheetViews>
    <sheetView topLeftCell="P1" workbookViewId="0">
      <selection activeCell="Z3" sqref="Z3"/>
    </sheetView>
  </sheetViews>
  <sheetFormatPr baseColWidth="10" defaultColWidth="8.90625" defaultRowHeight="14.5" x14ac:dyDescent="0.35"/>
  <cols>
    <col min="1" max="1" width="54.36328125" customWidth="1"/>
    <col min="2" max="2" width="11.81640625" bestFit="1" customWidth="1"/>
    <col min="3" max="10" width="11.54296875" bestFit="1" customWidth="1"/>
    <col min="11" max="22" width="11.90625" bestFit="1" customWidth="1"/>
    <col min="23" max="23" width="11.81640625" customWidth="1"/>
    <col min="24" max="25" width="11.90625" bestFit="1" customWidth="1"/>
    <col min="26" max="26" width="12.81640625" customWidth="1"/>
    <col min="27" max="27" width="16.81640625" bestFit="1" customWidth="1"/>
  </cols>
  <sheetData>
    <row r="1" spans="1:29" ht="15.5" thickTop="1" thickBot="1" x14ac:dyDescent="0.4">
      <c r="B1" s="1128">
        <v>1</v>
      </c>
      <c r="C1" s="1127">
        <v>2</v>
      </c>
      <c r="D1" s="1127">
        <v>3</v>
      </c>
      <c r="E1" s="1127">
        <v>4</v>
      </c>
      <c r="F1" s="1127">
        <v>5</v>
      </c>
      <c r="G1" s="1127">
        <v>6</v>
      </c>
      <c r="H1" s="1127">
        <v>7</v>
      </c>
      <c r="I1" s="1127">
        <v>8</v>
      </c>
      <c r="J1" s="1127">
        <v>9</v>
      </c>
      <c r="K1" s="1127">
        <v>10</v>
      </c>
      <c r="L1" s="1127">
        <v>11</v>
      </c>
      <c r="M1" s="1127">
        <v>12</v>
      </c>
      <c r="N1" s="1127">
        <v>13</v>
      </c>
      <c r="O1" s="1127">
        <v>14</v>
      </c>
      <c r="P1" s="1127">
        <v>15</v>
      </c>
      <c r="Q1" s="1127">
        <v>16</v>
      </c>
      <c r="R1" s="1127">
        <v>17</v>
      </c>
      <c r="S1" s="1127">
        <v>18</v>
      </c>
      <c r="T1" s="1127">
        <v>19</v>
      </c>
      <c r="U1" s="1127">
        <v>20</v>
      </c>
      <c r="V1" s="1127">
        <v>21</v>
      </c>
      <c r="W1" s="1127">
        <v>22</v>
      </c>
      <c r="X1" s="1127">
        <v>23</v>
      </c>
      <c r="Y1" s="1127">
        <v>24</v>
      </c>
      <c r="Z1" s="1664">
        <v>25</v>
      </c>
      <c r="AA1" s="1126" t="str">
        <f>VLOOKUP("Total",tabIdiomas26[],MATCH('Indiv. Invoices Comparison'!$J$2,tabIdiomas26[#Headers]),FALSE)</f>
        <v>Total</v>
      </c>
    </row>
    <row r="2" spans="1:29" ht="15" thickBot="1" x14ac:dyDescent="0.4">
      <c r="B2" s="1125">
        <v>2025</v>
      </c>
      <c r="C2" s="65">
        <v>2026</v>
      </c>
      <c r="D2" s="65">
        <v>2027</v>
      </c>
      <c r="E2" s="65">
        <v>2028</v>
      </c>
      <c r="F2" s="65">
        <v>2029</v>
      </c>
      <c r="G2" s="65">
        <v>2030</v>
      </c>
      <c r="H2" s="65">
        <v>2031</v>
      </c>
      <c r="I2" s="65">
        <v>2032</v>
      </c>
      <c r="J2" s="65">
        <v>2033</v>
      </c>
      <c r="K2" s="65">
        <v>2034</v>
      </c>
      <c r="L2" s="65">
        <v>2035</v>
      </c>
      <c r="M2" s="65">
        <v>2036</v>
      </c>
      <c r="N2" s="65">
        <v>2037</v>
      </c>
      <c r="O2" s="65">
        <v>2038</v>
      </c>
      <c r="P2" s="65">
        <v>2039</v>
      </c>
      <c r="Q2" s="65">
        <v>2040</v>
      </c>
      <c r="R2" s="65">
        <v>2041</v>
      </c>
      <c r="S2" s="65">
        <v>2042</v>
      </c>
      <c r="T2" s="65">
        <v>2043</v>
      </c>
      <c r="U2" s="65">
        <v>2044</v>
      </c>
      <c r="V2" s="65">
        <v>2045</v>
      </c>
      <c r="W2" s="65">
        <v>2046</v>
      </c>
      <c r="X2" s="65">
        <v>2047</v>
      </c>
      <c r="Y2" s="65">
        <v>2048</v>
      </c>
      <c r="Z2" s="1638">
        <v>2049</v>
      </c>
      <c r="AA2" s="1124" t="str">
        <f>VLOOKUP("Conxunto do Proxecto",tabIdiomas26[],MATCH('Indiv. Invoices Comparison'!$J$2,tabIdiomas26[#Headers]),FALSE)</f>
        <v>Project Lifetime</v>
      </c>
    </row>
    <row r="3" spans="1:29" ht="15" thickTop="1" x14ac:dyDescent="0.35">
      <c r="A3" s="1663" t="str">
        <f>VLOOKUP("Ingresos por Enerxía Autoconsumida",tabIdiomas26[],MATCH('Indiv. Invoices Comparison'!$J$2,tabIdiomas26[#Headers]),FALSE)</f>
        <v>Revenues from Self-Consumed Energy</v>
      </c>
      <c r="B3" s="1653">
        <f>'Conta explotación'!F6</f>
        <v>4466</v>
      </c>
      <c r="C3" s="1652">
        <f>'Conta explotación'!G6</f>
        <v>4604.4459999999999</v>
      </c>
      <c r="D3" s="1652">
        <f>'Conta explotación'!H6</f>
        <v>4747.1838259999995</v>
      </c>
      <c r="E3" s="1652">
        <f>'Conta explotación'!I6</f>
        <v>4894.3465246059986</v>
      </c>
      <c r="F3" s="1652">
        <f>'Conta explotación'!J6</f>
        <v>5046.0712668687838</v>
      </c>
      <c r="G3" s="1652">
        <f>'Conta explotación'!K6</f>
        <v>5202.4994761417156</v>
      </c>
      <c r="H3" s="1652">
        <f>'Conta explotación'!L6</f>
        <v>5363.7769599021085</v>
      </c>
      <c r="I3" s="1652">
        <f>'Conta explotación'!M6</f>
        <v>5530.0540456590734</v>
      </c>
      <c r="J3" s="1652">
        <f>'Conta explotación'!N6</f>
        <v>5701.485721074504</v>
      </c>
      <c r="K3" s="1652">
        <f>'Conta explotación'!O6</f>
        <v>5878.231778427813</v>
      </c>
      <c r="L3" s="1652">
        <f>'Conta explotación'!P6</f>
        <v>6060.4569635590751</v>
      </c>
      <c r="M3" s="1652">
        <f>'Conta explotación'!Q6</f>
        <v>6248.3311294294062</v>
      </c>
      <c r="N3" s="1652">
        <f>'Conta explotación'!R6</f>
        <v>6442.0293944417172</v>
      </c>
      <c r="O3" s="1652">
        <f>'Conta explotación'!S6</f>
        <v>6641.7323056694095</v>
      </c>
      <c r="P3" s="1652">
        <f>'Conta explotación'!T6</f>
        <v>6847.6260071451607</v>
      </c>
      <c r="Q3" s="1652">
        <f>'Conta explotación'!U6</f>
        <v>7059.9024133666599</v>
      </c>
      <c r="R3" s="1652">
        <f>'Conta explotación'!V6</f>
        <v>7278.7593881810253</v>
      </c>
      <c r="S3" s="1652">
        <f>'Conta explotación'!W6</f>
        <v>7504.4009292146366</v>
      </c>
      <c r="T3" s="1652">
        <f>'Conta explotación'!X6</f>
        <v>7737.0373580202895</v>
      </c>
      <c r="U3" s="1652">
        <f>'Conta explotación'!Y6</f>
        <v>7976.8855161189176</v>
      </c>
      <c r="V3" s="1652">
        <f>'Conta explotación'!Z6</f>
        <v>8224.1689671186032</v>
      </c>
      <c r="W3" s="1652">
        <f>'Conta explotación'!AA6</f>
        <v>8479.1182050992793</v>
      </c>
      <c r="X3" s="1652">
        <f>'Conta explotación'!AB6</f>
        <v>8741.9708694573565</v>
      </c>
      <c r="Y3" s="1652">
        <f>'Conta explotación'!AC6</f>
        <v>9012.9719664105342</v>
      </c>
      <c r="Z3" s="1651">
        <f>'Conta explotación'!AD6</f>
        <v>9292.3740973692602</v>
      </c>
      <c r="AA3" s="1662">
        <f>SUM(B3:Z3)</f>
        <v>164981.86110928131</v>
      </c>
    </row>
    <row r="4" spans="1:29" ht="29" x14ac:dyDescent="0.35">
      <c r="A4" s="1661" t="str">
        <f>VLOOKUP("Ingresos por Enerxía Excedentaria Suxeita a Compensación",tabIdiomas26[],MATCH('Indiv. Invoices Comparison'!$J$2,tabIdiomas26[#Headers]),FALSE)</f>
        <v>Revenues from Excedentary Energy Subject to Energy Compensation</v>
      </c>
      <c r="B4" s="1657">
        <f>'Conta explotación'!F7</f>
        <v>2233</v>
      </c>
      <c r="C4" s="1656">
        <f>'Conta explotación'!G7</f>
        <v>2302.223</v>
      </c>
      <c r="D4" s="1656">
        <f>'Conta explotación'!H7</f>
        <v>2373.5919129999997</v>
      </c>
      <c r="E4" s="1656">
        <f>'Conta explotación'!I7</f>
        <v>2447.1732623029993</v>
      </c>
      <c r="F4" s="1656">
        <f>'Conta explotación'!J7</f>
        <v>2523.0356334343919</v>
      </c>
      <c r="G4" s="1656">
        <f>'Conta explotación'!K7</f>
        <v>2601.2497380708578</v>
      </c>
      <c r="H4" s="1656">
        <f>'Conta explotación'!L7</f>
        <v>2681.8884799510543</v>
      </c>
      <c r="I4" s="1656">
        <f>'Conta explotación'!M7</f>
        <v>2765.0270228295367</v>
      </c>
      <c r="J4" s="1656">
        <f>'Conta explotación'!N7</f>
        <v>2850.742860537252</v>
      </c>
      <c r="K4" s="1656">
        <f>'Conta explotación'!O7</f>
        <v>2939.1158892139065</v>
      </c>
      <c r="L4" s="1656">
        <f>'Conta explotación'!P7</f>
        <v>3030.2284817795376</v>
      </c>
      <c r="M4" s="1656">
        <f>'Conta explotación'!Q7</f>
        <v>3124.1655647147031</v>
      </c>
      <c r="N4" s="1656">
        <f>'Conta explotación'!R7</f>
        <v>3221.0146972208586</v>
      </c>
      <c r="O4" s="1656">
        <f>'Conta explotación'!S7</f>
        <v>3320.8661528347047</v>
      </c>
      <c r="P4" s="1656">
        <f>'Conta explotación'!T7</f>
        <v>3423.8130035725803</v>
      </c>
      <c r="Q4" s="1656">
        <f>'Conta explotación'!U7</f>
        <v>3529.9512066833299</v>
      </c>
      <c r="R4" s="1656">
        <f>'Conta explotación'!V7</f>
        <v>3639.3796940905127</v>
      </c>
      <c r="S4" s="1656">
        <f>'Conta explotación'!W7</f>
        <v>3752.2004646073183</v>
      </c>
      <c r="T4" s="1656">
        <f>'Conta explotación'!X7</f>
        <v>3868.5186790101448</v>
      </c>
      <c r="U4" s="1656">
        <f>'Conta explotación'!Y7</f>
        <v>3988.4427580594588</v>
      </c>
      <c r="V4" s="1656">
        <f>'Conta explotación'!Z7</f>
        <v>4112.0844835593016</v>
      </c>
      <c r="W4" s="1656">
        <f>'Conta explotación'!AA7</f>
        <v>4239.5591025496396</v>
      </c>
      <c r="X4" s="1656">
        <f>'Conta explotación'!AB7</f>
        <v>4370.9854347286782</v>
      </c>
      <c r="Y4" s="1656">
        <f>'Conta explotación'!AC7</f>
        <v>4506.4859832052671</v>
      </c>
      <c r="Z4" s="1660">
        <f>'Conta explotación'!AD7</f>
        <v>4646.1870486846301</v>
      </c>
      <c r="AA4" s="1659">
        <f>SUM(B4:Z4)</f>
        <v>82490.930554640654</v>
      </c>
    </row>
    <row r="5" spans="1:29" ht="15" thickBot="1" x14ac:dyDescent="0.4">
      <c r="A5" s="1658" t="str">
        <f>VLOOKUP("Ingresos por Enerxía Excedentaria Vendida",tabIdiomas26[],MATCH('Indiv. Invoices Comparison'!$J$2,tabIdiomas26[#Headers]),FALSE)</f>
        <v>Revenues from Excedentary Energy Sold</v>
      </c>
      <c r="B5" s="1657">
        <f>'Conta explotación'!F8</f>
        <v>0</v>
      </c>
      <c r="C5" s="1656">
        <f>'Conta explotación'!G8</f>
        <v>0</v>
      </c>
      <c r="D5" s="1656">
        <f>'Conta explotación'!H8</f>
        <v>0</v>
      </c>
      <c r="E5" s="1656">
        <f>'Conta explotación'!I8</f>
        <v>0</v>
      </c>
      <c r="F5" s="1656">
        <f>'Conta explotación'!J8</f>
        <v>0</v>
      </c>
      <c r="G5" s="1656">
        <f>'Conta explotación'!K8</f>
        <v>0</v>
      </c>
      <c r="H5" s="1656">
        <f>'Conta explotación'!L8</f>
        <v>0</v>
      </c>
      <c r="I5" s="1656">
        <f>'Conta explotación'!M8</f>
        <v>0</v>
      </c>
      <c r="J5" s="1656">
        <f>'Conta explotación'!N8</f>
        <v>0</v>
      </c>
      <c r="K5" s="1656">
        <f>'Conta explotación'!O8</f>
        <v>0</v>
      </c>
      <c r="L5" s="1656">
        <f>'Conta explotación'!P8</f>
        <v>0</v>
      </c>
      <c r="M5" s="1656">
        <f>'Conta explotación'!Q8</f>
        <v>0</v>
      </c>
      <c r="N5" s="1656">
        <f>'Conta explotación'!R8</f>
        <v>0</v>
      </c>
      <c r="O5" s="1656">
        <f>'Conta explotación'!S8</f>
        <v>0</v>
      </c>
      <c r="P5" s="1656">
        <f>'Conta explotación'!T8</f>
        <v>0</v>
      </c>
      <c r="Q5" s="1656">
        <f>'Conta explotación'!U8</f>
        <v>0</v>
      </c>
      <c r="R5" s="1656">
        <f>'Conta explotación'!V8</f>
        <v>0</v>
      </c>
      <c r="S5" s="1656">
        <f>'Conta explotación'!W8</f>
        <v>0</v>
      </c>
      <c r="T5" s="1656">
        <f>'Conta explotación'!X8</f>
        <v>0</v>
      </c>
      <c r="U5" s="1656">
        <f>'Conta explotación'!Y8</f>
        <v>0</v>
      </c>
      <c r="V5" s="1656">
        <f>'Conta explotación'!Z8</f>
        <v>0</v>
      </c>
      <c r="W5" s="1656">
        <f>'Conta explotación'!AA8</f>
        <v>0</v>
      </c>
      <c r="X5" s="1656">
        <f>'Conta explotación'!AB8</f>
        <v>0</v>
      </c>
      <c r="Y5" s="1656">
        <f>'Conta explotación'!AC8</f>
        <v>0</v>
      </c>
      <c r="Z5" s="1655">
        <f>'Conta explotación'!AD8</f>
        <v>0</v>
      </c>
      <c r="AA5" s="1645">
        <f>SUM(B5:Z5)</f>
        <v>0</v>
      </c>
    </row>
    <row r="6" spans="1:29" ht="29" x14ac:dyDescent="0.35">
      <c r="A6" s="1654" t="str">
        <f>VLOOKUP("Ingresos por Prestación Gratuíta de Outros Servizos pola Entidade Xestora da Iniciativa Comunitaria",tabIdiomas26[],MATCH('Indiv. Invoices Comparison'!$J$2,tabIdiomas26[#Headers]),FALSE)</f>
        <v>Income Deriving from Free-of-Charge Services provided to the Partners by the Energy Initiative Manager-Entity</v>
      </c>
      <c r="B6" s="1653">
        <f>'Datos CE e Socios'!$C$14</f>
        <v>0</v>
      </c>
      <c r="C6" s="1652">
        <f>B6*(1+'Hipóteses xerais (2)'!$C$40)</f>
        <v>0</v>
      </c>
      <c r="D6" s="1652">
        <f>C6*(1+'Hipóteses xerais (2)'!$C$40)</f>
        <v>0</v>
      </c>
      <c r="E6" s="1652">
        <f>D6*(1+'Hipóteses xerais (2)'!$C$40)</f>
        <v>0</v>
      </c>
      <c r="F6" s="1652">
        <f>E6*(1+'Hipóteses xerais (2)'!$C$40)</f>
        <v>0</v>
      </c>
      <c r="G6" s="1652">
        <f>F6*(1+'Hipóteses xerais (2)'!$C$40)</f>
        <v>0</v>
      </c>
      <c r="H6" s="1652">
        <f>G6*(1+'Hipóteses xerais (2)'!$C$40)</f>
        <v>0</v>
      </c>
      <c r="I6" s="1652">
        <f>H6*(1+'Hipóteses xerais (2)'!$C$40)</f>
        <v>0</v>
      </c>
      <c r="J6" s="1652">
        <f>I6*(1+'Hipóteses xerais (2)'!$C$40)</f>
        <v>0</v>
      </c>
      <c r="K6" s="1652">
        <f>J6*(1+'Hipóteses xerais (2)'!$C$40)</f>
        <v>0</v>
      </c>
      <c r="L6" s="1652">
        <f>K6*(1+'Hipóteses xerais (2)'!$C$40)</f>
        <v>0</v>
      </c>
      <c r="M6" s="1652">
        <f>L6*(1+'Hipóteses xerais (2)'!$C$40)</f>
        <v>0</v>
      </c>
      <c r="N6" s="1652">
        <f>M6*(1+'Hipóteses xerais (2)'!$C$40)</f>
        <v>0</v>
      </c>
      <c r="O6" s="1652">
        <f>N6*(1+'Hipóteses xerais (2)'!$C$40)</f>
        <v>0</v>
      </c>
      <c r="P6" s="1652">
        <f>O6*(1+'Hipóteses xerais (2)'!$C$40)</f>
        <v>0</v>
      </c>
      <c r="Q6" s="1652">
        <f>P6*(1+'Hipóteses xerais (2)'!$C$40)</f>
        <v>0</v>
      </c>
      <c r="R6" s="1652">
        <f>Q6*(1+'Hipóteses xerais (2)'!$C$40)</f>
        <v>0</v>
      </c>
      <c r="S6" s="1652">
        <f>R6*(1+'Hipóteses xerais (2)'!$C$40)</f>
        <v>0</v>
      </c>
      <c r="T6" s="1652">
        <f>S6*(1+'Hipóteses xerais (2)'!$C$40)</f>
        <v>0</v>
      </c>
      <c r="U6" s="1652">
        <f>T6*(1+'Hipóteses xerais (2)'!$C$40)</f>
        <v>0</v>
      </c>
      <c r="V6" s="1652">
        <f>U6*(1+'Hipóteses xerais (2)'!$C$40)</f>
        <v>0</v>
      </c>
      <c r="W6" s="1652">
        <f>V6*(1+'Hipóteses xerais (2)'!$C$40)</f>
        <v>0</v>
      </c>
      <c r="X6" s="1652">
        <f>W6*(1+'Hipóteses xerais (2)'!$C$40)</f>
        <v>0</v>
      </c>
      <c r="Y6" s="1652">
        <f>X6*(1+'Hipóteses xerais (2)'!$C$40)</f>
        <v>0</v>
      </c>
      <c r="Z6" s="1651">
        <f>Y6*(1+'Hipóteses xerais (2)'!$C$40)</f>
        <v>0</v>
      </c>
      <c r="AA6" s="1650">
        <f>SUM(B6:Z6)</f>
        <v>0</v>
      </c>
    </row>
    <row r="7" spans="1:29" ht="29.5" thickBot="1" x14ac:dyDescent="0.4">
      <c r="A7" s="1649" t="str">
        <f>VLOOKUP("Outros Ingresos Percibidos da Entidade Xestora da Iniciativa Comunitaria",tabIdiomas26[],MATCH('Indiv. Invoices Comparison'!$J$2,tabIdiomas26[#Headers]),FALSE)</f>
        <v>Other Incomes perceived by the Partners from the Energy Initiative Manager-Entity</v>
      </c>
      <c r="B7" s="1648">
        <f>'Datos CE e Socios'!$C$15</f>
        <v>0</v>
      </c>
      <c r="C7" s="1647">
        <f>B7*(1+'Hipóteses xerais (2)'!$C$40)</f>
        <v>0</v>
      </c>
      <c r="D7" s="1647">
        <f>C7*(1+'Hipóteses xerais (2)'!$C$40)</f>
        <v>0</v>
      </c>
      <c r="E7" s="1647">
        <f>D7*(1+'Hipóteses xerais (2)'!$C$40)</f>
        <v>0</v>
      </c>
      <c r="F7" s="1647">
        <f>E7*(1+'Hipóteses xerais (2)'!$C$40)</f>
        <v>0</v>
      </c>
      <c r="G7" s="1647">
        <f>F7*(1+'Hipóteses xerais (2)'!$C$40)</f>
        <v>0</v>
      </c>
      <c r="H7" s="1647">
        <f>G7*(1+'Hipóteses xerais (2)'!$C$40)</f>
        <v>0</v>
      </c>
      <c r="I7" s="1647">
        <f>H7*(1+'Hipóteses xerais (2)'!$C$40)</f>
        <v>0</v>
      </c>
      <c r="J7" s="1647">
        <f>I7*(1+'Hipóteses xerais (2)'!$C$40)</f>
        <v>0</v>
      </c>
      <c r="K7" s="1647">
        <f>J7*(1+'Hipóteses xerais (2)'!$C$40)</f>
        <v>0</v>
      </c>
      <c r="L7" s="1647">
        <f>K7*(1+'Hipóteses xerais (2)'!$C$40)</f>
        <v>0</v>
      </c>
      <c r="M7" s="1647">
        <f>L7*(1+'Hipóteses xerais (2)'!$C$40)</f>
        <v>0</v>
      </c>
      <c r="N7" s="1647">
        <f>M7*(1+'Hipóteses xerais (2)'!$C$40)</f>
        <v>0</v>
      </c>
      <c r="O7" s="1647">
        <f>N7*(1+'Hipóteses xerais (2)'!$C$40)</f>
        <v>0</v>
      </c>
      <c r="P7" s="1647">
        <f>O7*(1+'Hipóteses xerais (2)'!$C$40)</f>
        <v>0</v>
      </c>
      <c r="Q7" s="1647">
        <f>P7*(1+'Hipóteses xerais (2)'!$C$40)</f>
        <v>0</v>
      </c>
      <c r="R7" s="1647">
        <f>Q7*(1+'Hipóteses xerais (2)'!$C$40)</f>
        <v>0</v>
      </c>
      <c r="S7" s="1647">
        <f>R7*(1+'Hipóteses xerais (2)'!$C$40)</f>
        <v>0</v>
      </c>
      <c r="T7" s="1647">
        <f>S7*(1+'Hipóteses xerais (2)'!$C$40)</f>
        <v>0</v>
      </c>
      <c r="U7" s="1647">
        <f>T7*(1+'Hipóteses xerais (2)'!$C$40)</f>
        <v>0</v>
      </c>
      <c r="V7" s="1647">
        <f>U7*(1+'Hipóteses xerais (2)'!$C$40)</f>
        <v>0</v>
      </c>
      <c r="W7" s="1647">
        <f>V7*(1+'Hipóteses xerais (2)'!$C$40)</f>
        <v>0</v>
      </c>
      <c r="X7" s="1647">
        <f>W7*(1+'Hipóteses xerais (2)'!$C$40)</f>
        <v>0</v>
      </c>
      <c r="Y7" s="1647">
        <f>X7*(1+'Hipóteses xerais (2)'!$C$40)</f>
        <v>0</v>
      </c>
      <c r="Z7" s="1646">
        <f>Y7*(1+'Hipóteses xerais (2)'!$C$40)</f>
        <v>0</v>
      </c>
      <c r="AA7" s="1645">
        <f>SUM(B7:Z7)</f>
        <v>0</v>
      </c>
    </row>
    <row r="8" spans="1:29" s="13" customFormat="1" ht="29.5" thickBot="1" x14ac:dyDescent="0.4">
      <c r="A8" s="1644" t="str">
        <f>VLOOKUP("Total Ingresos Derivados da Pertenza á Iniciativa Enerxética Comunitaria",tabIdiomas26[],MATCH('Indiv. Invoices Comparison'!$J$2,tabIdiomas26[#Headers]),FALSE)</f>
        <v>Total Revenues Derived from the Community Energy Initiative Membership</v>
      </c>
      <c r="B8" s="1643">
        <f t="shared" ref="B8:AA8" si="0">SUM(B3:B7)</f>
        <v>6699</v>
      </c>
      <c r="C8" s="1642">
        <f t="shared" si="0"/>
        <v>6906.6689999999999</v>
      </c>
      <c r="D8" s="1642">
        <f t="shared" si="0"/>
        <v>7120.7757389999988</v>
      </c>
      <c r="E8" s="1642">
        <f t="shared" si="0"/>
        <v>7341.519786908998</v>
      </c>
      <c r="F8" s="1642">
        <f t="shared" si="0"/>
        <v>7569.1069003031753</v>
      </c>
      <c r="G8" s="1642">
        <f t="shared" si="0"/>
        <v>7803.7492142125739</v>
      </c>
      <c r="H8" s="1642">
        <f t="shared" si="0"/>
        <v>8045.6654398531628</v>
      </c>
      <c r="I8" s="1642">
        <f t="shared" si="0"/>
        <v>8295.0810684886092</v>
      </c>
      <c r="J8" s="1642">
        <f t="shared" si="0"/>
        <v>8552.2285816117565</v>
      </c>
      <c r="K8" s="1642">
        <f t="shared" si="0"/>
        <v>8817.3476676417195</v>
      </c>
      <c r="L8" s="1642">
        <f t="shared" si="0"/>
        <v>9090.6854453386131</v>
      </c>
      <c r="M8" s="1642">
        <f t="shared" si="0"/>
        <v>9372.4966941441089</v>
      </c>
      <c r="N8" s="1642">
        <f t="shared" si="0"/>
        <v>9663.0440916625757</v>
      </c>
      <c r="O8" s="1642">
        <f t="shared" si="0"/>
        <v>9962.5984585041151</v>
      </c>
      <c r="P8" s="1642">
        <f t="shared" si="0"/>
        <v>10271.439010717741</v>
      </c>
      <c r="Q8" s="1642">
        <f t="shared" si="0"/>
        <v>10589.853620049989</v>
      </c>
      <c r="R8" s="1642">
        <f t="shared" si="0"/>
        <v>10918.139082271538</v>
      </c>
      <c r="S8" s="1642">
        <f t="shared" si="0"/>
        <v>11256.601393821955</v>
      </c>
      <c r="T8" s="1642">
        <f t="shared" si="0"/>
        <v>11605.556037030434</v>
      </c>
      <c r="U8" s="1642">
        <f t="shared" si="0"/>
        <v>11965.328274178377</v>
      </c>
      <c r="V8" s="1642">
        <f t="shared" si="0"/>
        <v>12336.253450677905</v>
      </c>
      <c r="W8" s="1642">
        <f t="shared" si="0"/>
        <v>12718.677307648919</v>
      </c>
      <c r="X8" s="1642">
        <f t="shared" si="0"/>
        <v>13112.956304186035</v>
      </c>
      <c r="Y8" s="1642">
        <f t="shared" si="0"/>
        <v>13519.4579496158</v>
      </c>
      <c r="Z8" s="1641">
        <f t="shared" si="0"/>
        <v>13938.561146053889</v>
      </c>
      <c r="AA8" s="1640">
        <f t="shared" si="0"/>
        <v>247472.79166392196</v>
      </c>
      <c r="AB8" s="1120"/>
      <c r="AC8" s="1120"/>
    </row>
    <row r="9" spans="1:29" ht="15" thickTop="1" x14ac:dyDescent="0.35"/>
    <row r="10" spans="1:29" ht="15" thickBot="1" x14ac:dyDescent="0.4">
      <c r="AA10" s="1006"/>
    </row>
    <row r="11" spans="1:29" ht="15.5" thickTop="1" thickBot="1" x14ac:dyDescent="0.4">
      <c r="B11" s="1128">
        <v>1</v>
      </c>
      <c r="C11" s="1127">
        <v>2</v>
      </c>
      <c r="D11" s="1127">
        <v>3</v>
      </c>
      <c r="E11" s="1127">
        <v>4</v>
      </c>
      <c r="F11" s="1127">
        <v>5</v>
      </c>
      <c r="G11" s="1127">
        <v>6</v>
      </c>
      <c r="H11" s="1127">
        <v>7</v>
      </c>
      <c r="I11" s="1127">
        <v>8</v>
      </c>
      <c r="J11" s="1127">
        <v>9</v>
      </c>
      <c r="K11" s="1127">
        <v>10</v>
      </c>
      <c r="L11" s="1127">
        <v>11</v>
      </c>
      <c r="M11" s="1127">
        <v>12</v>
      </c>
      <c r="N11" s="1127">
        <v>13</v>
      </c>
      <c r="O11" s="1127">
        <v>14</v>
      </c>
      <c r="P11" s="1127">
        <v>15</v>
      </c>
      <c r="Q11" s="1127">
        <v>16</v>
      </c>
      <c r="R11" s="1127">
        <v>17</v>
      </c>
      <c r="S11" s="1127">
        <v>18</v>
      </c>
      <c r="T11" s="1127">
        <v>19</v>
      </c>
      <c r="U11" s="1127">
        <v>20</v>
      </c>
      <c r="V11" s="1127">
        <v>21</v>
      </c>
      <c r="W11" s="1127">
        <v>22</v>
      </c>
      <c r="X11" s="1127">
        <v>23</v>
      </c>
      <c r="Y11" s="1127">
        <v>24</v>
      </c>
      <c r="Z11" s="1127">
        <v>25</v>
      </c>
      <c r="AA11" s="1126" t="str">
        <f>VLOOKUP("Total",tabIdiomas26[],MATCH('Indiv. Invoices Comparison'!$J$2,tabIdiomas26[#Headers]),FALSE)</f>
        <v>Total</v>
      </c>
    </row>
    <row r="12" spans="1:29" ht="15" thickBot="1" x14ac:dyDescent="0.4">
      <c r="B12" s="1639">
        <v>2025</v>
      </c>
      <c r="C12" s="1342">
        <v>2026</v>
      </c>
      <c r="D12" s="1342">
        <v>2027</v>
      </c>
      <c r="E12" s="1342">
        <v>2028</v>
      </c>
      <c r="F12" s="1342">
        <v>2029</v>
      </c>
      <c r="G12" s="1342">
        <v>2030</v>
      </c>
      <c r="H12" s="1342">
        <v>2031</v>
      </c>
      <c r="I12" s="1342">
        <v>2032</v>
      </c>
      <c r="J12" s="1342">
        <v>2033</v>
      </c>
      <c r="K12" s="1342">
        <v>2034</v>
      </c>
      <c r="L12" s="1342">
        <v>2035</v>
      </c>
      <c r="M12" s="1342">
        <v>2036</v>
      </c>
      <c r="N12" s="1342">
        <v>2037</v>
      </c>
      <c r="O12" s="1342">
        <v>2038</v>
      </c>
      <c r="P12" s="1342">
        <v>2039</v>
      </c>
      <c r="Q12" s="1342">
        <v>2040</v>
      </c>
      <c r="R12" s="1342">
        <v>2041</v>
      </c>
      <c r="S12" s="1342">
        <v>2042</v>
      </c>
      <c r="T12" s="1342">
        <v>2043</v>
      </c>
      <c r="U12" s="1342">
        <v>2044</v>
      </c>
      <c r="V12" s="1342">
        <v>2045</v>
      </c>
      <c r="W12" s="1342">
        <v>2046</v>
      </c>
      <c r="X12" s="1342">
        <v>2047</v>
      </c>
      <c r="Y12" s="1342">
        <v>2048</v>
      </c>
      <c r="Z12" s="1638">
        <v>2049</v>
      </c>
      <c r="AA12" s="1124" t="str">
        <f>VLOOKUP("Conxunto do Proxecto",tabIdiomas26[],MATCH('Indiv. Invoices Comparison'!$J$2,tabIdiomas26[#Headers]),FALSE)</f>
        <v>Project Lifetime</v>
      </c>
    </row>
    <row r="13" spans="1:29" s="13" customFormat="1" ht="15" thickTop="1" x14ac:dyDescent="0.35">
      <c r="A13" s="1637" t="str">
        <f>VLOOKUP("Cota Extraordinaria Inicial (Só Primeiro Ano)",tabIdiomas26[],MATCH('Indiv. Invoices Comparison'!$J$2,tabIdiomas26[#Headers]),FALSE)</f>
        <v>Extraordinary Initial Membership Fee (Only for the First Year)</v>
      </c>
      <c r="B13" s="1636">
        <f>'Conta explotación'!F10</f>
        <v>0</v>
      </c>
      <c r="C13" s="1635">
        <f>'Conta explotación'!G10</f>
        <v>0</v>
      </c>
      <c r="D13" s="1635">
        <f>'Conta explotación'!H10</f>
        <v>0</v>
      </c>
      <c r="E13" s="1635">
        <f>'Conta explotación'!I10</f>
        <v>0</v>
      </c>
      <c r="F13" s="1635">
        <f>'Conta explotación'!J10</f>
        <v>0</v>
      </c>
      <c r="G13" s="1635">
        <f>'Conta explotación'!K10</f>
        <v>0</v>
      </c>
      <c r="H13" s="1635">
        <f>'Conta explotación'!L10</f>
        <v>0</v>
      </c>
      <c r="I13" s="1635">
        <f>'Conta explotación'!M10</f>
        <v>0</v>
      </c>
      <c r="J13" s="1635">
        <f>'Conta explotación'!N10</f>
        <v>0</v>
      </c>
      <c r="K13" s="1635">
        <f>'Conta explotación'!O10</f>
        <v>0</v>
      </c>
      <c r="L13" s="1635">
        <f>'Conta explotación'!P10</f>
        <v>0</v>
      </c>
      <c r="M13" s="1635">
        <f>'Conta explotación'!Q10</f>
        <v>0</v>
      </c>
      <c r="N13" s="1635">
        <f>'Conta explotación'!R10</f>
        <v>0</v>
      </c>
      <c r="O13" s="1635">
        <f>'Conta explotación'!S10</f>
        <v>0</v>
      </c>
      <c r="P13" s="1635">
        <f>'Conta explotación'!T10</f>
        <v>0</v>
      </c>
      <c r="Q13" s="1635">
        <f>'Conta explotación'!U10</f>
        <v>0</v>
      </c>
      <c r="R13" s="1635">
        <f>'Conta explotación'!V10</f>
        <v>0</v>
      </c>
      <c r="S13" s="1635">
        <f>'Conta explotación'!W10</f>
        <v>0</v>
      </c>
      <c r="T13" s="1635">
        <f>'Conta explotación'!X10</f>
        <v>0</v>
      </c>
      <c r="U13" s="1635">
        <f>'Conta explotación'!Y10</f>
        <v>0</v>
      </c>
      <c r="V13" s="1635">
        <f>'Conta explotación'!Z10</f>
        <v>0</v>
      </c>
      <c r="W13" s="1635">
        <f>'Conta explotación'!AA10</f>
        <v>0</v>
      </c>
      <c r="X13" s="1635">
        <f>'Conta explotación'!AB10</f>
        <v>0</v>
      </c>
      <c r="Y13" s="1635">
        <f>'Conta explotación'!AC10</f>
        <v>0</v>
      </c>
      <c r="Z13" s="1634">
        <f>'Conta explotación'!AD10</f>
        <v>0</v>
      </c>
      <c r="AA13" s="1633">
        <f>SUM(B13:Z13)</f>
        <v>0</v>
      </c>
      <c r="AB13" s="1120"/>
      <c r="AC13" s="1120"/>
    </row>
    <row r="14" spans="1:29" ht="15" thickBot="1" x14ac:dyDescent="0.4">
      <c r="A14" s="1632" t="str">
        <f>VLOOKUP("Cotas de Socios",tabIdiomas26[],MATCH('Indiv. Invoices Comparison'!$J$2,tabIdiomas26[#Headers]),FALSE)</f>
        <v>Membership Fees</v>
      </c>
      <c r="B14" s="1631">
        <f>'Conta explotación'!F11</f>
        <v>2470.4699999999998</v>
      </c>
      <c r="C14" s="1630">
        <f>'Conta explotación'!G11</f>
        <v>2460</v>
      </c>
      <c r="D14" s="1630">
        <f>'Conta explotación'!H11</f>
        <v>2574.5599999999995</v>
      </c>
      <c r="E14" s="1630">
        <f>'Conta explotación'!I11</f>
        <v>2692.7859200000003</v>
      </c>
      <c r="F14" s="1630">
        <f>'Conta explotación'!J11</f>
        <v>2814.7950694400001</v>
      </c>
      <c r="G14" s="1630">
        <f>'Conta explotación'!K11</f>
        <v>2940.7085116620801</v>
      </c>
      <c r="H14" s="1630">
        <f>'Conta explotación'!L11</f>
        <v>3070.6511840352669</v>
      </c>
      <c r="I14" s="1630">
        <f>'Conta explotación'!M11</f>
        <v>3204.7520219243952</v>
      </c>
      <c r="J14" s="1630">
        <f>'Conta explotación'!N11</f>
        <v>3343.1440866259768</v>
      </c>
      <c r="K14" s="1630">
        <f>'Conta explotación'!O11</f>
        <v>3485.9646973980075</v>
      </c>
      <c r="L14" s="1630">
        <f>'Conta explotación'!P11</f>
        <v>3633.3555677147442</v>
      </c>
      <c r="M14" s="1630">
        <f>'Conta explotación'!Q11</f>
        <v>3785.4629458816171</v>
      </c>
      <c r="N14" s="1630">
        <f>'Conta explotación'!R11</f>
        <v>3942.4377601498277</v>
      </c>
      <c r="O14" s="1630">
        <f>'Conta explotación'!S11</f>
        <v>4104.4357684746237</v>
      </c>
      <c r="P14" s="1630">
        <f>'Conta explotación'!T11</f>
        <v>4271.6177130658116</v>
      </c>
      <c r="Q14" s="1630">
        <f>'Conta explotación'!U11</f>
        <v>4444.1494798839176</v>
      </c>
      <c r="R14" s="1630">
        <f>'Conta explotación'!V11</f>
        <v>4622.2022632402031</v>
      </c>
      <c r="S14" s="1630">
        <f>'Conta explotación'!W11</f>
        <v>4805.9527356638891</v>
      </c>
      <c r="T14" s="1630">
        <f>'Conta explotación'!X11</f>
        <v>4995.5832232051353</v>
      </c>
      <c r="U14" s="1630">
        <f>'Conta explotación'!Y11</f>
        <v>5191.2818863476987</v>
      </c>
      <c r="V14" s="1630">
        <f>'Conta explotación'!Z11</f>
        <v>5393.242906710826</v>
      </c>
      <c r="W14" s="1630">
        <f>'Conta explotación'!AA11</f>
        <v>5601.6666797255721</v>
      </c>
      <c r="X14" s="1630">
        <f>'Conta explotación'!AB11</f>
        <v>5816.7600134767908</v>
      </c>
      <c r="Y14" s="1630">
        <f>'Conta explotación'!AC11</f>
        <v>6038.7363339080466</v>
      </c>
      <c r="Z14" s="1629">
        <f>'Conta explotación'!AD11</f>
        <v>6267.8158965931061</v>
      </c>
      <c r="AA14" s="1628">
        <f>SUM(B14:Z14)</f>
        <v>101972.53266512754</v>
      </c>
    </row>
    <row r="15" spans="1:29" ht="15" thickBot="1" x14ac:dyDescent="0.4">
      <c r="A15" s="1627" t="str">
        <f>VLOOKUP("Cargos por Prestación de Servizos Complementarios aos Socios",tabIdiomas26[],MATCH('Indiv. Invoices Comparison'!$J$2,tabIdiomas26[#Headers]),FALSE)</f>
        <v>Charges for Complementary Services Provision to Partners</v>
      </c>
      <c r="B15" s="1626">
        <f>'Conta explotación'!F12</f>
        <v>0</v>
      </c>
      <c r="C15" s="1625">
        <f>'Conta explotación'!G12</f>
        <v>0</v>
      </c>
      <c r="D15" s="1625">
        <f>'Conta explotación'!H12</f>
        <v>0</v>
      </c>
      <c r="E15" s="1625">
        <f>'Conta explotación'!I12</f>
        <v>0</v>
      </c>
      <c r="F15" s="1625">
        <f>'Conta explotación'!J12</f>
        <v>0</v>
      </c>
      <c r="G15" s="1625">
        <f>'Conta explotación'!K12</f>
        <v>0</v>
      </c>
      <c r="H15" s="1625">
        <f>'Conta explotación'!L12</f>
        <v>0</v>
      </c>
      <c r="I15" s="1625">
        <f>'Conta explotación'!M12</f>
        <v>0</v>
      </c>
      <c r="J15" s="1625">
        <f>'Conta explotación'!N12</f>
        <v>0</v>
      </c>
      <c r="K15" s="1625">
        <f>'Conta explotación'!O12</f>
        <v>0</v>
      </c>
      <c r="L15" s="1625">
        <f>'Conta explotación'!P12</f>
        <v>0</v>
      </c>
      <c r="M15" s="1625">
        <f>'Conta explotación'!Q12</f>
        <v>0</v>
      </c>
      <c r="N15" s="1625">
        <f>'Conta explotación'!R12</f>
        <v>0</v>
      </c>
      <c r="O15" s="1625">
        <f>'Conta explotación'!S12</f>
        <v>0</v>
      </c>
      <c r="P15" s="1625">
        <f>'Conta explotación'!T12</f>
        <v>0</v>
      </c>
      <c r="Q15" s="1625">
        <f>'Conta explotación'!U12</f>
        <v>0</v>
      </c>
      <c r="R15" s="1625">
        <f>'Conta explotación'!V12</f>
        <v>0</v>
      </c>
      <c r="S15" s="1625">
        <f>'Conta explotación'!W12</f>
        <v>0</v>
      </c>
      <c r="T15" s="1625">
        <f>'Conta explotación'!X12</f>
        <v>0</v>
      </c>
      <c r="U15" s="1625">
        <f>'Conta explotación'!Y12</f>
        <v>0</v>
      </c>
      <c r="V15" s="1625">
        <f>'Conta explotación'!Z12</f>
        <v>0</v>
      </c>
      <c r="W15" s="1625">
        <f>'Conta explotación'!AA12</f>
        <v>0</v>
      </c>
      <c r="X15" s="1625">
        <f>'Conta explotación'!AB12</f>
        <v>0</v>
      </c>
      <c r="Y15" s="1625">
        <f>'Conta explotación'!AC12</f>
        <v>0</v>
      </c>
      <c r="Z15" s="1624">
        <f>'Conta explotación'!AD12</f>
        <v>0</v>
      </c>
      <c r="AA15" s="1623">
        <f>SUM(B15:Z15)</f>
        <v>0</v>
      </c>
    </row>
    <row r="16" spans="1:29" s="13" customFormat="1" ht="29.5" thickBot="1" x14ac:dyDescent="0.4">
      <c r="A16" s="1622" t="str">
        <f>VLOOKUP("Total Gastos Derivados da Pertenza á Iniciativa Enerxética Comunitaria",tabIdiomas26[],MATCH('Indiv. Invoices Comparison'!$J$2,tabIdiomas26[#Headers]),FALSE)</f>
        <v>Total Expenses Deriving From Community Energy Initiative Membership</v>
      </c>
      <c r="B16" s="1582">
        <f t="shared" ref="B16:Z16" si="1">SUM(B13:B15)</f>
        <v>2470.4699999999998</v>
      </c>
      <c r="C16" s="1581">
        <f t="shared" si="1"/>
        <v>2460</v>
      </c>
      <c r="D16" s="1581">
        <f t="shared" si="1"/>
        <v>2574.5599999999995</v>
      </c>
      <c r="E16" s="1581">
        <f t="shared" si="1"/>
        <v>2692.7859200000003</v>
      </c>
      <c r="F16" s="1581">
        <f t="shared" si="1"/>
        <v>2814.7950694400001</v>
      </c>
      <c r="G16" s="1581">
        <f t="shared" si="1"/>
        <v>2940.7085116620801</v>
      </c>
      <c r="H16" s="1581">
        <f t="shared" si="1"/>
        <v>3070.6511840352669</v>
      </c>
      <c r="I16" s="1581">
        <f t="shared" si="1"/>
        <v>3204.7520219243952</v>
      </c>
      <c r="J16" s="1581">
        <f t="shared" si="1"/>
        <v>3343.1440866259768</v>
      </c>
      <c r="K16" s="1581">
        <f t="shared" si="1"/>
        <v>3485.9646973980075</v>
      </c>
      <c r="L16" s="1581">
        <f t="shared" si="1"/>
        <v>3633.3555677147442</v>
      </c>
      <c r="M16" s="1581">
        <f t="shared" si="1"/>
        <v>3785.4629458816171</v>
      </c>
      <c r="N16" s="1581">
        <f t="shared" si="1"/>
        <v>3942.4377601498277</v>
      </c>
      <c r="O16" s="1581">
        <f t="shared" si="1"/>
        <v>4104.4357684746237</v>
      </c>
      <c r="P16" s="1581">
        <f t="shared" si="1"/>
        <v>4271.6177130658116</v>
      </c>
      <c r="Q16" s="1581">
        <f t="shared" si="1"/>
        <v>4444.1494798839176</v>
      </c>
      <c r="R16" s="1581">
        <f t="shared" si="1"/>
        <v>4622.2022632402031</v>
      </c>
      <c r="S16" s="1581">
        <f t="shared" si="1"/>
        <v>4805.9527356638891</v>
      </c>
      <c r="T16" s="1581">
        <f t="shared" si="1"/>
        <v>4995.5832232051353</v>
      </c>
      <c r="U16" s="1581">
        <f t="shared" si="1"/>
        <v>5191.2818863476987</v>
      </c>
      <c r="V16" s="1581">
        <f t="shared" si="1"/>
        <v>5393.242906710826</v>
      </c>
      <c r="W16" s="1581">
        <f t="shared" si="1"/>
        <v>5601.6666797255721</v>
      </c>
      <c r="X16" s="1581">
        <f t="shared" si="1"/>
        <v>5816.7600134767908</v>
      </c>
      <c r="Y16" s="1581">
        <f t="shared" si="1"/>
        <v>6038.7363339080466</v>
      </c>
      <c r="Z16" s="1580">
        <f t="shared" si="1"/>
        <v>6267.8158965931061</v>
      </c>
      <c r="AA16" s="1579">
        <f>SUM(B16:Z16)</f>
        <v>101972.53266512754</v>
      </c>
    </row>
    <row r="17" spans="1:27" ht="15.5" thickTop="1" thickBot="1" x14ac:dyDescent="0.4">
      <c r="AA17" s="615"/>
    </row>
    <row r="18" spans="1:27" s="623" customFormat="1" ht="29.5" thickBot="1" x14ac:dyDescent="0.4">
      <c r="A18" s="1621" t="str">
        <f>VLOOKUP("Resultado Anual da Participación Colectiva dos Socios na Iniciativa Enerxética Comunitaria",tabIdiomas26[],MATCH('Indiv. Invoices Comparison'!$J$2,tabIdiomas26[#Headers]),FALSE)</f>
        <v>Annual Result of the Collective Membership of Partners in the Community Energy Initiative</v>
      </c>
      <c r="B18" s="1620">
        <f t="shared" ref="B18:Z18" si="2">B8-B16</f>
        <v>4228.5300000000007</v>
      </c>
      <c r="C18" s="1620">
        <f t="shared" si="2"/>
        <v>4446.6689999999999</v>
      </c>
      <c r="D18" s="1620">
        <f t="shared" si="2"/>
        <v>4546.2157389999993</v>
      </c>
      <c r="E18" s="1620">
        <f t="shared" si="2"/>
        <v>4648.7338669089977</v>
      </c>
      <c r="F18" s="1620">
        <f t="shared" si="2"/>
        <v>4754.3118308631747</v>
      </c>
      <c r="G18" s="1620">
        <f t="shared" si="2"/>
        <v>4863.0407025504937</v>
      </c>
      <c r="H18" s="1620">
        <f t="shared" si="2"/>
        <v>4975.0142558178959</v>
      </c>
      <c r="I18" s="1620">
        <f t="shared" si="2"/>
        <v>5090.329046564214</v>
      </c>
      <c r="J18" s="1620">
        <f t="shared" si="2"/>
        <v>5209.0844949857801</v>
      </c>
      <c r="K18" s="1620">
        <f t="shared" si="2"/>
        <v>5331.3829702437124</v>
      </c>
      <c r="L18" s="1620">
        <f t="shared" si="2"/>
        <v>5457.3298776238689</v>
      </c>
      <c r="M18" s="1620">
        <f t="shared" si="2"/>
        <v>5587.0337482624918</v>
      </c>
      <c r="N18" s="1620">
        <f t="shared" si="2"/>
        <v>5720.6063315127485</v>
      </c>
      <c r="O18" s="1620">
        <f t="shared" si="2"/>
        <v>5858.1626900294914</v>
      </c>
      <c r="P18" s="1620">
        <f t="shared" si="2"/>
        <v>5999.8212976519289</v>
      </c>
      <c r="Q18" s="1620">
        <f t="shared" si="2"/>
        <v>6145.7041401660717</v>
      </c>
      <c r="R18" s="1620">
        <f t="shared" si="2"/>
        <v>6295.9368190313353</v>
      </c>
      <c r="S18" s="1620">
        <f t="shared" si="2"/>
        <v>6450.6486581580657</v>
      </c>
      <c r="T18" s="1620">
        <f t="shared" si="2"/>
        <v>6609.9728138252985</v>
      </c>
      <c r="U18" s="1620">
        <f t="shared" si="2"/>
        <v>6774.0463878306782</v>
      </c>
      <c r="V18" s="1620">
        <f t="shared" si="2"/>
        <v>6943.0105439670788</v>
      </c>
      <c r="W18" s="1620">
        <f t="shared" si="2"/>
        <v>7117.0106279233469</v>
      </c>
      <c r="X18" s="1620">
        <f t="shared" si="2"/>
        <v>7296.1962907092438</v>
      </c>
      <c r="Y18" s="1620">
        <f t="shared" si="2"/>
        <v>7480.7216157077537</v>
      </c>
      <c r="Z18" s="1619">
        <f t="shared" si="2"/>
        <v>7670.7452494607833</v>
      </c>
      <c r="AA18" s="1618">
        <f>SUM(B18:Z18)</f>
        <v>145500.25899879442</v>
      </c>
    </row>
    <row r="19" spans="1:27" s="623" customFormat="1" ht="16.5" thickBot="1" x14ac:dyDescent="0.4">
      <c r="A19" s="1617" t="str">
        <f>VLOOKUP("Valor Actual do Resultado Anual da Participación do Socio",tabIdiomas26[],MATCH('Indiv. Invoices Comparison'!$J$2,tabIdiomas26[#Headers]),FALSE)</f>
        <v>Present Value of the Annual Result of the Partner Membership</v>
      </c>
      <c r="B19" s="1616">
        <f>B18/((1+'Hipóteses xerais (2)'!$C$33)^(B11))</f>
        <v>4095.2302551934536</v>
      </c>
      <c r="C19" s="1616">
        <f>C18/((1+'Hipóteses xerais (2)'!$C$33)^(C11))</f>
        <v>4170.7352319921747</v>
      </c>
      <c r="D19" s="1616">
        <f>D18/((1+'Hipóteses xerais (2)'!$C$33)^(D11))</f>
        <v>4129.6834960507049</v>
      </c>
      <c r="E19" s="1616">
        <f>E18/((1+'Hipóteses xerais (2)'!$C$33)^(E11))</f>
        <v>4089.6893454553779</v>
      </c>
      <c r="F19" s="1616">
        <f>F18/((1+'Hipóteses xerais (2)'!$C$33)^(F11))</f>
        <v>4050.7198497351342</v>
      </c>
      <c r="G19" s="1616">
        <f>G18/((1+'Hipóteses xerais (2)'!$C$33)^(G11))</f>
        <v>4012.7431158735294</v>
      </c>
      <c r="H19" s="1616">
        <f>H18/((1+'Hipóteses xerais (2)'!$C$33)^(H11))</f>
        <v>3975.7282556050882</v>
      </c>
      <c r="I19" s="1616">
        <f>I18/((1+'Hipóteses xerais (2)'!$C$33)^(I11))</f>
        <v>3939.6453537426328</v>
      </c>
      <c r="J19" s="1616">
        <f>J18/((1+'Hipóteses xerais (2)'!$C$33)^(J11))</f>
        <v>3904.4654375030295</v>
      </c>
      <c r="K19" s="1616">
        <f>K18/((1+'Hipóteses xerais (2)'!$C$33)^(K11))</f>
        <v>3870.1604467999155</v>
      </c>
      <c r="L19" s="1616">
        <f>L18/((1+'Hipóteses xerais (2)'!$C$33)^(L11))</f>
        <v>3836.7032054729152</v>
      </c>
      <c r="M19" s="1616">
        <f>M18/((1+'Hipóteses xerais (2)'!$C$33)^(M11))</f>
        <v>3804.0673934238193</v>
      </c>
      <c r="N19" s="1616">
        <f>N18/((1+'Hipóteses xerais (2)'!$C$33)^(N11))</f>
        <v>3772.2275196311434</v>
      </c>
      <c r="O19" s="1616">
        <f>O18/((1+'Hipóteses xerais (2)'!$C$33)^(O11))</f>
        <v>3741.1588960153572</v>
      </c>
      <c r="P19" s="1616">
        <f>P18/((1+'Hipóteses xerais (2)'!$C$33)^(P11))</f>
        <v>3710.8376121280039</v>
      </c>
      <c r="Q19" s="1616">
        <f>Q18/((1+'Hipóteses xerais (2)'!$C$33)^(Q11))</f>
        <v>3681.2405106386991</v>
      </c>
      <c r="R19" s="1616">
        <f>R18/((1+'Hipóteses xerais (2)'!$C$33)^(R11))</f>
        <v>3652.3451635948772</v>
      </c>
      <c r="S19" s="1616">
        <f>S18/((1+'Hipóteses xerais (2)'!$C$33)^(S11))</f>
        <v>3624.1298494299267</v>
      </c>
      <c r="T19" s="1616">
        <f>T18/((1+'Hipóteses xerais (2)'!$C$33)^(T11))</f>
        <v>3596.5735306961087</v>
      </c>
      <c r="U19" s="1616">
        <f>U18/((1+'Hipóteses xerais (2)'!$C$33)^(U11))</f>
        <v>3569.655832499433</v>
      </c>
      <c r="V19" s="1616">
        <f>V18/((1+'Hipóteses xerais (2)'!$C$33)^(V11))</f>
        <v>3543.3570216143271</v>
      </c>
      <c r="W19" s="1616">
        <f>W18/((1+'Hipóteses xerais (2)'!$C$33)^(W11))</f>
        <v>3517.657986256721</v>
      </c>
      <c r="X19" s="1616">
        <f>X18/((1+'Hipóteses xerais (2)'!$C$33)^(X11))</f>
        <v>3492.5402164947272</v>
      </c>
      <c r="Y19" s="1616">
        <f>Y18/((1+'Hipóteses xerais (2)'!$C$33)^(Y11))</f>
        <v>3467.9857852768851</v>
      </c>
      <c r="Z19" s="1615">
        <f>Z18/((1+'Hipóteses xerais (2)'!$C$33)^(Z11))</f>
        <v>3443.9773300584375</v>
      </c>
      <c r="AA19" s="1614">
        <f>SUM(B19:Z19)</f>
        <v>94693.25864118243</v>
      </c>
    </row>
    <row r="20" spans="1:27" ht="15" thickTop="1" x14ac:dyDescent="0.35"/>
    <row r="22" spans="1:27" x14ac:dyDescent="0.35">
      <c r="A22" s="1090" t="str">
        <f>VLOOKUP("Importante:",tabIdiomas26[],MATCH('Indiv. Invoices Comparison'!$J$2,tabIdiomas26[#Headers]),FALSE)</f>
        <v>Important Notice:</v>
      </c>
      <c r="B22" s="1089"/>
      <c r="C22" s="1089"/>
      <c r="D22" s="1089"/>
      <c r="E22" s="1089"/>
      <c r="F22" s="1089"/>
      <c r="G22" s="1089"/>
      <c r="H22" s="1088"/>
      <c r="W22" s="1613" t="str">
        <f>VLOOKUP("Comprobación da Coherencia entre os Resultados Individual e Colectivo",tabIdiomas26[],MATCH('Indiv. Invoices Comparison'!$J$2,tabIdiomas26[#Headers]),FALSE)</f>
        <v>Verification of Coherence between Individual and Collective Results</v>
      </c>
      <c r="X22" s="1104"/>
      <c r="Y22" s="1104"/>
      <c r="Z22" s="1104"/>
      <c r="AA22" s="1105">
        <f>('Conta Individ. Socio'!$AA$18*'Datos CE e Socios'!$B$2)-'All Partners Accounts'!$AA$18</f>
        <v>0</v>
      </c>
    </row>
    <row r="23" spans="1:27" x14ac:dyDescent="0.35">
      <c r="A23" s="662" t="str">
        <f>VLOOKUP("Os datos desta folla cumpliméntase automaticamente, polo que non procede a súa modificación manual.",tabIdiomas26[],MATCH('Indiv. Invoices Comparison'!$J$2,tabIdiomas26[#Headers]),FALSE)</f>
        <v>Data on this sheet are automatically filled-in. For this reason it would not be appropriate modifying them manually.</v>
      </c>
      <c r="B23" s="661"/>
      <c r="C23" s="661"/>
      <c r="D23" s="661"/>
      <c r="E23" s="661"/>
      <c r="F23" s="661"/>
      <c r="G23" s="661"/>
      <c r="H23" s="827"/>
      <c r="W23" s="1104" t="str">
        <f>VLOOKUP("(Cela en Cor debe conter valor 0,00€; Cor Verde)",tabIdiomas26[],MATCH('Indiv. Invoices Comparison'!$J$2,tabIdiomas26[#Headers]),FALSE)</f>
        <v>(Colour Cell must show 0.00€ value; Green Colour)</v>
      </c>
      <c r="X23" s="1104"/>
      <c r="Y23" s="1104"/>
      <c r="Z23" s="1104"/>
      <c r="AA23" s="1103" t="str">
        <f>IF(AA22&lt;0.01, "O.K.", "INCOHERENTE")</f>
        <v>O.K.</v>
      </c>
    </row>
    <row r="25" spans="1:27" ht="15" thickBot="1" x14ac:dyDescent="0.4"/>
    <row r="26" spans="1:27" ht="15.5" thickTop="1" thickBot="1" x14ac:dyDescent="0.4">
      <c r="A26" s="1102" t="str">
        <f>VLOOKUP("Aportación de Capital Propio dos Socios",tabIdiomas26[],MATCH('Indiv. Invoices Comparison'!$J$2,tabIdiomas26[#Headers]),FALSE)</f>
        <v>Shareholders' Equity Contribution</v>
      </c>
      <c r="B26" s="1101">
        <f>'Hipóteses xerais (2)'!$F$35</f>
        <v>70150</v>
      </c>
    </row>
    <row r="27" spans="1:27" x14ac:dyDescent="0.35">
      <c r="A27" s="1100" t="str">
        <f>VLOOKUP("Valor Actual Neto dos Fluxos Positivos de Valor Económico",tabIdiomas26[],MATCH('Indiv. Invoices Comparison'!$J$2,tabIdiomas26[#Headers]),FALSE)</f>
        <v>Net Present Value of the Positive Flows of Economic Value</v>
      </c>
      <c r="B27" s="1099">
        <f>NPV('Hipóteses xerais (2)'!$C$33,B18:Z18)</f>
        <v>94693.25864118243</v>
      </c>
    </row>
    <row r="28" spans="1:27" ht="15" thickBot="1" x14ac:dyDescent="0.4">
      <c r="A28" s="1098" t="str">
        <f>VLOOKUP("Valor Actual Neto dos Fluxos de Valor Económico Esperados",tabIdiomas26[],MATCH('Indiv. Invoices Comparison'!$J$2,tabIdiomas26[#Headers]),FALSE)</f>
        <v>Net Present Value of the Expected Flows of Economic Value</v>
      </c>
      <c r="B28" s="1097">
        <f>NPV('Hipóteses xerais (2)'!$C$33,-B26,B18:Z18)</f>
        <v>23769.559480104999</v>
      </c>
    </row>
    <row r="29" spans="1:27" x14ac:dyDescent="0.35">
      <c r="A29" s="1096" t="str">
        <f>VLOOKUP("TIR Conxunto dos Socios (%)",tabIdiomas26[],MATCH('Indiv. Invoices Comparison'!$J$2,tabIdiomas26[#Headers]),FALSE)</f>
        <v>IRR Complete Set of Partners (%)</v>
      </c>
      <c r="B29" s="1095">
        <f>IRR(B32:AA32)</f>
        <v>5.8845201157594174E-2</v>
      </c>
    </row>
    <row r="30" spans="1:27" ht="15" thickBot="1" x14ac:dyDescent="0.4">
      <c r="A30" s="1094" t="str">
        <f>VLOOKUP("TIR Modificada Conxunto dos Socios (%)",tabIdiomas26[],MATCH('Indiv. Invoices Comparison'!$J$2,tabIdiomas26[#Headers]),FALSE)</f>
        <v>Modified IRR Complete Set of Partners (%)</v>
      </c>
      <c r="B30" s="1093">
        <f>MIRR(B32:AA32,'Hipóteses xerais (2)'!$C$33,'Hipóteses xerais (2)'!$C$33)</f>
        <v>4.5015534666871249E-2</v>
      </c>
    </row>
    <row r="31" spans="1:27" ht="15.5" thickTop="1" thickBot="1" x14ac:dyDescent="0.4"/>
    <row r="32" spans="1:27" ht="15" hidden="1" thickBot="1" x14ac:dyDescent="0.4">
      <c r="B32" s="150">
        <f>-B26</f>
        <v>-70150</v>
      </c>
      <c r="C32" s="150">
        <f t="shared" ref="C32:AA32" si="3">B18</f>
        <v>4228.5300000000007</v>
      </c>
      <c r="D32" s="150">
        <f t="shared" si="3"/>
        <v>4446.6689999999999</v>
      </c>
      <c r="E32" s="150">
        <f t="shared" si="3"/>
        <v>4546.2157389999993</v>
      </c>
      <c r="F32" s="150">
        <f t="shared" si="3"/>
        <v>4648.7338669089977</v>
      </c>
      <c r="G32" s="150">
        <f t="shared" si="3"/>
        <v>4754.3118308631747</v>
      </c>
      <c r="H32" s="150">
        <f t="shared" si="3"/>
        <v>4863.0407025504937</v>
      </c>
      <c r="I32" s="150">
        <f t="shared" si="3"/>
        <v>4975.0142558178959</v>
      </c>
      <c r="J32" s="150">
        <f t="shared" si="3"/>
        <v>5090.329046564214</v>
      </c>
      <c r="K32" s="150">
        <f t="shared" si="3"/>
        <v>5209.0844949857801</v>
      </c>
      <c r="L32" s="150">
        <f t="shared" si="3"/>
        <v>5331.3829702437124</v>
      </c>
      <c r="M32" s="150">
        <f t="shared" si="3"/>
        <v>5457.3298776238689</v>
      </c>
      <c r="N32" s="150">
        <f t="shared" si="3"/>
        <v>5587.0337482624918</v>
      </c>
      <c r="O32" s="150">
        <f t="shared" si="3"/>
        <v>5720.6063315127485</v>
      </c>
      <c r="P32" s="150">
        <f t="shared" si="3"/>
        <v>5858.1626900294914</v>
      </c>
      <c r="Q32" s="150">
        <f t="shared" si="3"/>
        <v>5999.8212976519289</v>
      </c>
      <c r="R32" s="150">
        <f t="shared" si="3"/>
        <v>6145.7041401660717</v>
      </c>
      <c r="S32" s="150">
        <f t="shared" si="3"/>
        <v>6295.9368190313353</v>
      </c>
      <c r="T32" s="150">
        <f t="shared" si="3"/>
        <v>6450.6486581580657</v>
      </c>
      <c r="U32" s="150">
        <f t="shared" si="3"/>
        <v>6609.9728138252985</v>
      </c>
      <c r="V32" s="150">
        <f t="shared" si="3"/>
        <v>6774.0463878306782</v>
      </c>
      <c r="W32" s="150">
        <f t="shared" si="3"/>
        <v>6943.0105439670788</v>
      </c>
      <c r="X32" s="150">
        <f t="shared" si="3"/>
        <v>7117.0106279233469</v>
      </c>
      <c r="Y32" s="150">
        <f t="shared" si="3"/>
        <v>7296.1962907092438</v>
      </c>
      <c r="Z32" s="150">
        <f t="shared" si="3"/>
        <v>7480.7216157077537</v>
      </c>
      <c r="AA32" s="150">
        <f t="shared" si="3"/>
        <v>7670.7452494607833</v>
      </c>
    </row>
    <row r="33" spans="1:2" ht="15.5" thickTop="1" thickBot="1" x14ac:dyDescent="0.4">
      <c r="A33" s="947" t="str">
        <f>VLOOKUP("Período de Recuperación do Investimento (Anos)",tabIdiomas26[],MATCH('Indiv. Invoices Comparison'!$J$2,tabIdiomas26[#Headers]),FALSE)</f>
        <v>Payback Period (Years)</v>
      </c>
      <c r="B33" s="1092">
        <f>B26/AVERAGE(B19:Z19)</f>
        <v>18.520325788400822</v>
      </c>
    </row>
    <row r="34" spans="1:2" ht="15" thickTop="1" x14ac:dyDescent="0.35"/>
  </sheetData>
  <sheetProtection algorithmName="SHA-512" hashValue="V3ygZLJA+XcHU3hnZATVy/uXwrATXrtoDC3v6OBbVrVw74OYp09Muur8wmDYGONkxw4lseEL9NT5QlyFUL5eDQ==" saltValue="IZxd4HyqtfcHXR3FVPoOQg==" spinCount="100000" sheet="1" objects="1" scenarios="1"/>
  <conditionalFormatting sqref="AA22">
    <cfRule type="expression" dxfId="0" priority="1">
      <formula>$AA$22&lt;0.01</formula>
    </cfRule>
  </conditionalFormatting>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FF667-7A8B-4172-80EB-05579E154084}">
  <dimension ref="A1:AN34"/>
  <sheetViews>
    <sheetView zoomScaleNormal="100" workbookViewId="0">
      <pane xSplit="4" ySplit="11" topLeftCell="E12" activePane="bottomRight" state="frozen"/>
      <selection activeCell="D2" sqref="D2"/>
      <selection pane="topRight" activeCell="D2" sqref="D2"/>
      <selection pane="bottomLeft" activeCell="D2" sqref="D2"/>
      <selection pane="bottomRight"/>
    </sheetView>
  </sheetViews>
  <sheetFormatPr baseColWidth="10" defaultColWidth="11.54296875" defaultRowHeight="14.5" x14ac:dyDescent="0.35"/>
  <cols>
    <col min="1" max="1" width="52.453125" customWidth="1"/>
    <col min="2" max="2" width="11.54296875" bestFit="1" customWidth="1"/>
    <col min="17" max="26" width="11.54296875" bestFit="1" customWidth="1"/>
    <col min="27" max="27" width="16.81640625" bestFit="1" customWidth="1"/>
  </cols>
  <sheetData>
    <row r="1" spans="1:29" ht="15.5" thickTop="1" thickBot="1" x14ac:dyDescent="0.4">
      <c r="B1" s="1128">
        <v>1</v>
      </c>
      <c r="C1" s="1127">
        <v>2</v>
      </c>
      <c r="D1" s="1127">
        <v>3</v>
      </c>
      <c r="E1" s="1127">
        <v>4</v>
      </c>
      <c r="F1" s="1127">
        <v>5</v>
      </c>
      <c r="G1" s="1127">
        <v>6</v>
      </c>
      <c r="H1" s="1127">
        <v>7</v>
      </c>
      <c r="I1" s="1127">
        <v>8</v>
      </c>
      <c r="J1" s="1127">
        <v>9</v>
      </c>
      <c r="K1" s="1127">
        <v>10</v>
      </c>
      <c r="L1" s="1127">
        <v>11</v>
      </c>
      <c r="M1" s="1127">
        <v>12</v>
      </c>
      <c r="N1" s="1127">
        <v>13</v>
      </c>
      <c r="O1" s="1127">
        <v>14</v>
      </c>
      <c r="P1" s="1127">
        <v>15</v>
      </c>
      <c r="Q1" s="1127">
        <v>16</v>
      </c>
      <c r="R1" s="1127">
        <v>17</v>
      </c>
      <c r="S1" s="1127">
        <v>18</v>
      </c>
      <c r="T1" s="1127">
        <v>19</v>
      </c>
      <c r="U1" s="1127">
        <v>20</v>
      </c>
      <c r="V1" s="1127">
        <v>21</v>
      </c>
      <c r="W1" s="1127">
        <v>22</v>
      </c>
      <c r="X1" s="1127">
        <v>23</v>
      </c>
      <c r="Y1" s="1127">
        <v>24</v>
      </c>
      <c r="Z1" s="1664">
        <v>25</v>
      </c>
      <c r="AA1" s="1126" t="str">
        <f>VLOOKUP("Total",tabIdiomas26[],MATCH('Indiv. Invoices Comparison'!$J$2,tabIdiomas26[#Headers]),FALSE)</f>
        <v>Total</v>
      </c>
    </row>
    <row r="2" spans="1:29" ht="15" thickBot="1" x14ac:dyDescent="0.4">
      <c r="B2" s="1125">
        <v>2025</v>
      </c>
      <c r="C2" s="65">
        <v>2026</v>
      </c>
      <c r="D2" s="65">
        <v>2027</v>
      </c>
      <c r="E2" s="65">
        <v>2028</v>
      </c>
      <c r="F2" s="65">
        <v>2029</v>
      </c>
      <c r="G2" s="65">
        <v>2030</v>
      </c>
      <c r="H2" s="65">
        <v>2031</v>
      </c>
      <c r="I2" s="65">
        <v>2032</v>
      </c>
      <c r="J2" s="65">
        <v>2033</v>
      </c>
      <c r="K2" s="65">
        <v>2034</v>
      </c>
      <c r="L2" s="65">
        <v>2035</v>
      </c>
      <c r="M2" s="65">
        <v>2036</v>
      </c>
      <c r="N2" s="65">
        <v>2037</v>
      </c>
      <c r="O2" s="65">
        <v>2038</v>
      </c>
      <c r="P2" s="65">
        <v>2039</v>
      </c>
      <c r="Q2" s="65">
        <v>2040</v>
      </c>
      <c r="R2" s="65">
        <v>2041</v>
      </c>
      <c r="S2" s="65">
        <v>2042</v>
      </c>
      <c r="T2" s="65">
        <v>2043</v>
      </c>
      <c r="U2" s="65">
        <v>2044</v>
      </c>
      <c r="V2" s="65">
        <v>2045</v>
      </c>
      <c r="W2" s="65">
        <v>2046</v>
      </c>
      <c r="X2" s="65">
        <v>2047</v>
      </c>
      <c r="Y2" s="65">
        <v>2048</v>
      </c>
      <c r="Z2" s="1638">
        <v>2049</v>
      </c>
      <c r="AA2" s="1124" t="str">
        <f>VLOOKUP("Conxunto do Proxecto",tabIdiomas26[],MATCH('Indiv. Invoices Comparison'!$J$2,tabIdiomas26[#Headers]),FALSE)</f>
        <v>Project Lifetime</v>
      </c>
    </row>
    <row r="3" spans="1:29" ht="15" thickTop="1" x14ac:dyDescent="0.35">
      <c r="A3" s="1663" t="str">
        <f>VLOOKUP("Ingresos por Enerxía Autoconsumida",tabIdiomas26[],MATCH('Indiv. Invoices Comparison'!$J$2,tabIdiomas26[#Headers]),FALSE)</f>
        <v>Revenues from Self-Consumed Energy</v>
      </c>
      <c r="B3" s="1608">
        <f>'Conta explotación'!F6*'Datos CE e Socios'!$B$5</f>
        <v>178.64000000000001</v>
      </c>
      <c r="C3" s="1607">
        <f>'Conta explotación'!G6*'Datos CE e Socios'!$B$5</f>
        <v>184.17784</v>
      </c>
      <c r="D3" s="1607">
        <f>'Conta explotación'!H6*'Datos CE e Socios'!$B$5</f>
        <v>189.88735303999999</v>
      </c>
      <c r="E3" s="1607">
        <f>'Conta explotación'!I6*'Datos CE e Socios'!$B$5</f>
        <v>195.77386098423995</v>
      </c>
      <c r="F3" s="1607">
        <f>'Conta explotación'!J6*'Datos CE e Socios'!$B$5</f>
        <v>201.84285067475136</v>
      </c>
      <c r="G3" s="1607">
        <f>'Conta explotación'!K6*'Datos CE e Socios'!$B$5</f>
        <v>208.09997904566862</v>
      </c>
      <c r="H3" s="1607">
        <f>'Conta explotación'!L6*'Datos CE e Socios'!$B$5</f>
        <v>214.55107839608434</v>
      </c>
      <c r="I3" s="1607">
        <f>'Conta explotación'!M6*'Datos CE e Socios'!$B$5</f>
        <v>221.20216182636295</v>
      </c>
      <c r="J3" s="1607">
        <f>'Conta explotación'!N6*'Datos CE e Socios'!$B$5</f>
        <v>228.05942884298017</v>
      </c>
      <c r="K3" s="1607">
        <f>'Conta explotación'!O6*'Datos CE e Socios'!$B$5</f>
        <v>235.12927113711251</v>
      </c>
      <c r="L3" s="1607">
        <f>'Conta explotación'!P6*'Datos CE e Socios'!$B$5</f>
        <v>242.418278542363</v>
      </c>
      <c r="M3" s="1607">
        <f>'Conta explotación'!Q6*'Datos CE e Socios'!$B$5</f>
        <v>249.93324517717625</v>
      </c>
      <c r="N3" s="1607">
        <f>'Conta explotación'!R6*'Datos CE e Socios'!$B$5</f>
        <v>257.68117577766867</v>
      </c>
      <c r="O3" s="1607">
        <f>'Conta explotación'!S6*'Datos CE e Socios'!$B$5</f>
        <v>265.66929222677641</v>
      </c>
      <c r="P3" s="1607">
        <f>'Conta explotación'!T6*'Datos CE e Socios'!$B$5</f>
        <v>273.90504028580642</v>
      </c>
      <c r="Q3" s="1607">
        <f>'Conta explotación'!U6*'Datos CE e Socios'!$B$5</f>
        <v>282.39609653466641</v>
      </c>
      <c r="R3" s="1607">
        <f>'Conta explotación'!V6*'Datos CE e Socios'!$B$5</f>
        <v>291.15037552724101</v>
      </c>
      <c r="S3" s="1607">
        <f>'Conta explotación'!W6*'Datos CE e Socios'!$B$5</f>
        <v>300.17603716858548</v>
      </c>
      <c r="T3" s="1607">
        <f>'Conta explotación'!X6*'Datos CE e Socios'!$B$5</f>
        <v>309.48149432081158</v>
      </c>
      <c r="U3" s="1607">
        <f>'Conta explotación'!Y6*'Datos CE e Socios'!$B$5</f>
        <v>319.07542064475672</v>
      </c>
      <c r="V3" s="1607">
        <f>'Conta explotación'!Z6*'Datos CE e Socios'!$B$5</f>
        <v>328.96675868474415</v>
      </c>
      <c r="W3" s="1607">
        <f>'Conta explotación'!AA6*'Datos CE e Socios'!$B$5</f>
        <v>339.16472820397115</v>
      </c>
      <c r="X3" s="1607">
        <f>'Conta explotación'!AB6*'Datos CE e Socios'!$B$5</f>
        <v>349.67883477829429</v>
      </c>
      <c r="Y3" s="1607">
        <f>'Conta explotación'!AC6*'Datos CE e Socios'!$B$5</f>
        <v>360.51887865642135</v>
      </c>
      <c r="Z3" s="1606">
        <f>'Conta explotación'!AD6*'Datos CE e Socios'!$B$5</f>
        <v>371.69496389477041</v>
      </c>
      <c r="AA3" s="1688">
        <f>SUM(B3:Z3)</f>
        <v>6599.2744443712536</v>
      </c>
    </row>
    <row r="4" spans="1:29" ht="29" x14ac:dyDescent="0.35">
      <c r="A4" s="1661" t="str">
        <f>VLOOKUP("Ingresos por Enerxía Excedentaria Suxeita a Compensación",tabIdiomas26[],MATCH('Indiv. Invoices Comparison'!$J$2,tabIdiomas26[#Headers]),FALSE)</f>
        <v>Revenues from Excedentary Energy Subject to Energy Compensation</v>
      </c>
      <c r="B4" s="1601">
        <f>'Conta explotación'!F7*'Datos CE e Socios'!$B$5</f>
        <v>89.320000000000007</v>
      </c>
      <c r="C4" s="1600">
        <f>'Conta explotación'!G7*'Datos CE e Socios'!$B$5</f>
        <v>92.088920000000002</v>
      </c>
      <c r="D4" s="1600">
        <f>'Conta explotación'!H7*'Datos CE e Socios'!$B$5</f>
        <v>94.943676519999997</v>
      </c>
      <c r="E4" s="1600">
        <f>'Conta explotación'!I7*'Datos CE e Socios'!$B$5</f>
        <v>97.886930492119973</v>
      </c>
      <c r="F4" s="1600">
        <f>'Conta explotación'!J7*'Datos CE e Socios'!$B$5</f>
        <v>100.92142533737568</v>
      </c>
      <c r="G4" s="1600">
        <f>'Conta explotación'!K7*'Datos CE e Socios'!$B$5</f>
        <v>104.04998952283431</v>
      </c>
      <c r="H4" s="1600">
        <f>'Conta explotación'!L7*'Datos CE e Socios'!$B$5</f>
        <v>107.27553919804217</v>
      </c>
      <c r="I4" s="1600">
        <f>'Conta explotación'!M7*'Datos CE e Socios'!$B$5</f>
        <v>110.60108091318148</v>
      </c>
      <c r="J4" s="1600">
        <f>'Conta explotación'!N7*'Datos CE e Socios'!$B$5</f>
        <v>114.02971442149008</v>
      </c>
      <c r="K4" s="1600">
        <f>'Conta explotación'!O7*'Datos CE e Socios'!$B$5</f>
        <v>117.56463556855626</v>
      </c>
      <c r="L4" s="1600">
        <f>'Conta explotación'!P7*'Datos CE e Socios'!$B$5</f>
        <v>121.2091392711815</v>
      </c>
      <c r="M4" s="1600">
        <f>'Conta explotación'!Q7*'Datos CE e Socios'!$B$5</f>
        <v>124.96662258858812</v>
      </c>
      <c r="N4" s="1600">
        <f>'Conta explotación'!R7*'Datos CE e Socios'!$B$5</f>
        <v>128.84058788883434</v>
      </c>
      <c r="O4" s="1600">
        <f>'Conta explotación'!S7*'Datos CE e Socios'!$B$5</f>
        <v>132.8346461133882</v>
      </c>
      <c r="P4" s="1600">
        <f>'Conta explotación'!T7*'Datos CE e Socios'!$B$5</f>
        <v>136.95252014290321</v>
      </c>
      <c r="Q4" s="1600">
        <f>'Conta explotación'!U7*'Datos CE e Socios'!$B$5</f>
        <v>141.19804826733321</v>
      </c>
      <c r="R4" s="1600">
        <f>'Conta explotación'!V7*'Datos CE e Socios'!$B$5</f>
        <v>145.57518776362051</v>
      </c>
      <c r="S4" s="1600">
        <f>'Conta explotación'!W7*'Datos CE e Socios'!$B$5</f>
        <v>150.08801858429274</v>
      </c>
      <c r="T4" s="1600">
        <f>'Conta explotación'!X7*'Datos CE e Socios'!$B$5</f>
        <v>154.74074716040579</v>
      </c>
      <c r="U4" s="1600">
        <f>'Conta explotación'!Y7*'Datos CE e Socios'!$B$5</f>
        <v>159.53771032237836</v>
      </c>
      <c r="V4" s="1600">
        <f>'Conta explotación'!Z7*'Datos CE e Socios'!$B$5</f>
        <v>164.48337934237207</v>
      </c>
      <c r="W4" s="1600">
        <f>'Conta explotación'!AA7*'Datos CE e Socios'!$B$5</f>
        <v>169.58236410198558</v>
      </c>
      <c r="X4" s="1600">
        <f>'Conta explotación'!AB7*'Datos CE e Socios'!$B$5</f>
        <v>174.83941738914714</v>
      </c>
      <c r="Y4" s="1600">
        <f>'Conta explotación'!AC7*'Datos CE e Socios'!$B$5</f>
        <v>180.25943932821068</v>
      </c>
      <c r="Z4" s="1599">
        <f>'Conta explotación'!AD7*'Datos CE e Socios'!$B$5</f>
        <v>185.84748194738521</v>
      </c>
      <c r="AA4" s="1687">
        <f>SUM(B4:Z4)</f>
        <v>3299.6372221856268</v>
      </c>
    </row>
    <row r="5" spans="1:29" ht="15" thickBot="1" x14ac:dyDescent="0.4">
      <c r="A5" s="1658" t="str">
        <f>VLOOKUP("Ingresos por Enerxía Excedentaria Vendida",tabIdiomas26[],MATCH('Indiv. Invoices Comparison'!$J$2,tabIdiomas26[#Headers]),FALSE)</f>
        <v>Revenues from Excedentary Energy Sold</v>
      </c>
      <c r="B5" s="1601">
        <f>'Conta explotación'!F8*'Datos CE e Socios'!$B$5</f>
        <v>0</v>
      </c>
      <c r="C5" s="1600">
        <f>'Conta explotación'!G8*'Datos CE e Socios'!$B$5</f>
        <v>0</v>
      </c>
      <c r="D5" s="1600">
        <f>'Conta explotación'!H8*'Datos CE e Socios'!$B$5</f>
        <v>0</v>
      </c>
      <c r="E5" s="1600">
        <f>'Conta explotación'!I8*'Datos CE e Socios'!$B$5</f>
        <v>0</v>
      </c>
      <c r="F5" s="1600">
        <f>'Conta explotación'!J8*'Datos CE e Socios'!$B$5</f>
        <v>0</v>
      </c>
      <c r="G5" s="1600">
        <f>'Conta explotación'!K8*'Datos CE e Socios'!$B$5</f>
        <v>0</v>
      </c>
      <c r="H5" s="1600">
        <f>'Conta explotación'!L8*'Datos CE e Socios'!$B$5</f>
        <v>0</v>
      </c>
      <c r="I5" s="1600">
        <f>'Conta explotación'!M8*'Datos CE e Socios'!$B$5</f>
        <v>0</v>
      </c>
      <c r="J5" s="1600">
        <f>'Conta explotación'!N8*'Datos CE e Socios'!$B$5</f>
        <v>0</v>
      </c>
      <c r="K5" s="1600">
        <f>'Conta explotación'!O8*'Datos CE e Socios'!$B$5</f>
        <v>0</v>
      </c>
      <c r="L5" s="1600">
        <f>'Conta explotación'!P8*'Datos CE e Socios'!$B$5</f>
        <v>0</v>
      </c>
      <c r="M5" s="1600">
        <f>'Conta explotación'!Q8*'Datos CE e Socios'!$B$5</f>
        <v>0</v>
      </c>
      <c r="N5" s="1600">
        <f>'Conta explotación'!R8*'Datos CE e Socios'!$B$5</f>
        <v>0</v>
      </c>
      <c r="O5" s="1600">
        <f>'Conta explotación'!S8*'Datos CE e Socios'!$B$5</f>
        <v>0</v>
      </c>
      <c r="P5" s="1600">
        <f>'Conta explotación'!T8*'Datos CE e Socios'!$B$5</f>
        <v>0</v>
      </c>
      <c r="Q5" s="1600">
        <f>'Conta explotación'!U8*'Datos CE e Socios'!$B$5</f>
        <v>0</v>
      </c>
      <c r="R5" s="1600">
        <f>'Conta explotación'!V8*'Datos CE e Socios'!$B$5</f>
        <v>0</v>
      </c>
      <c r="S5" s="1600">
        <f>'Conta explotación'!W8*'Datos CE e Socios'!$B$5</f>
        <v>0</v>
      </c>
      <c r="T5" s="1600">
        <f>'Conta explotación'!X8*'Datos CE e Socios'!$B$5</f>
        <v>0</v>
      </c>
      <c r="U5" s="1600">
        <f>'Conta explotación'!Y8*'Datos CE e Socios'!$B$5</f>
        <v>0</v>
      </c>
      <c r="V5" s="1600">
        <f>'Conta explotación'!Z8*'Datos CE e Socios'!$B$5</f>
        <v>0</v>
      </c>
      <c r="W5" s="1600">
        <f>'Conta explotación'!AA8*'Datos CE e Socios'!$B$5</f>
        <v>0</v>
      </c>
      <c r="X5" s="1600">
        <f>'Conta explotación'!AB8*'Datos CE e Socios'!$B$5</f>
        <v>0</v>
      </c>
      <c r="Y5" s="1600">
        <f>'Conta explotación'!AC8*'Datos CE e Socios'!$B$5</f>
        <v>0</v>
      </c>
      <c r="Z5" s="1686">
        <f>'Conta explotación'!AD8*'Datos CE e Socios'!$B$5</f>
        <v>0</v>
      </c>
      <c r="AA5" s="1682">
        <f>SUM(B5:Z5)</f>
        <v>0</v>
      </c>
    </row>
    <row r="6" spans="1:29" ht="29" x14ac:dyDescent="0.35">
      <c r="A6" s="1654" t="str">
        <f>VLOOKUP("Ingresos por Prestación Gratuíta de Outros Servizos pola Entidade Xestora da Iniciativa Comunitaria",tabIdiomas26[],MATCH('Indiv. Invoices Comparison'!$J$2,tabIdiomas26[#Headers]),FALSE)</f>
        <v>Income Deriving from Free-of-Charge Services provided to the Partners by the Energy Initiative Manager-Entity</v>
      </c>
      <c r="B6" s="1608">
        <f>'Datos CE e Socios'!$C$14*'Datos CE e Socios'!$B$5</f>
        <v>0</v>
      </c>
      <c r="C6" s="1607">
        <f>B6*(1+'Hipóteses xerais (2)'!$C$40)</f>
        <v>0</v>
      </c>
      <c r="D6" s="1607">
        <f>C6*(1+'Hipóteses xerais (2)'!$C$40)</f>
        <v>0</v>
      </c>
      <c r="E6" s="1607">
        <f>D6*(1+'Hipóteses xerais (2)'!$C$40)</f>
        <v>0</v>
      </c>
      <c r="F6" s="1607">
        <f>E6*(1+'Hipóteses xerais (2)'!$C$40)</f>
        <v>0</v>
      </c>
      <c r="G6" s="1607">
        <f>F6*(1+'Hipóteses xerais (2)'!$C$40)</f>
        <v>0</v>
      </c>
      <c r="H6" s="1607">
        <f>G6*(1+'Hipóteses xerais (2)'!$C$40)</f>
        <v>0</v>
      </c>
      <c r="I6" s="1607">
        <f>H6*(1+'Hipóteses xerais (2)'!$C$40)</f>
        <v>0</v>
      </c>
      <c r="J6" s="1607">
        <f>I6*(1+'Hipóteses xerais (2)'!$C$40)</f>
        <v>0</v>
      </c>
      <c r="K6" s="1607">
        <f>J6*(1+'Hipóteses xerais (2)'!$C$40)</f>
        <v>0</v>
      </c>
      <c r="L6" s="1607">
        <f>K6*(1+'Hipóteses xerais (2)'!$C$40)</f>
        <v>0</v>
      </c>
      <c r="M6" s="1607">
        <f>L6*(1+'Hipóteses xerais (2)'!$C$40)</f>
        <v>0</v>
      </c>
      <c r="N6" s="1607">
        <f>M6*(1+'Hipóteses xerais (2)'!$C$40)</f>
        <v>0</v>
      </c>
      <c r="O6" s="1607">
        <f>N6*(1+'Hipóteses xerais (2)'!$C$40)</f>
        <v>0</v>
      </c>
      <c r="P6" s="1607">
        <f>O6*(1+'Hipóteses xerais (2)'!$C$40)</f>
        <v>0</v>
      </c>
      <c r="Q6" s="1607">
        <f>P6*(1+'Hipóteses xerais (2)'!$C$40)</f>
        <v>0</v>
      </c>
      <c r="R6" s="1607">
        <f>Q6*(1+'Hipóteses xerais (2)'!$C$40)</f>
        <v>0</v>
      </c>
      <c r="S6" s="1607">
        <f>R6*(1+'Hipóteses xerais (2)'!$C$40)</f>
        <v>0</v>
      </c>
      <c r="T6" s="1607">
        <f>S6*(1+'Hipóteses xerais (2)'!$C$40)</f>
        <v>0</v>
      </c>
      <c r="U6" s="1607">
        <f>T6*(1+'Hipóteses xerais (2)'!$C$40)</f>
        <v>0</v>
      </c>
      <c r="V6" s="1607">
        <f>U6*(1+'Hipóteses xerais (2)'!$C$40)</f>
        <v>0</v>
      </c>
      <c r="W6" s="1607">
        <f>V6*(1+'Hipóteses xerais (2)'!$C$40)</f>
        <v>0</v>
      </c>
      <c r="X6" s="1607">
        <f>W6*(1+'Hipóteses xerais (2)'!$C$40)</f>
        <v>0</v>
      </c>
      <c r="Y6" s="1607">
        <f>X6*(1+'Hipóteses xerais (2)'!$C$40)</f>
        <v>0</v>
      </c>
      <c r="Z6" s="1606">
        <f>Y6*(1+'Hipóteses xerais (2)'!$C$40)</f>
        <v>0</v>
      </c>
      <c r="AA6" s="1685">
        <f>SUM(B6:Z6)</f>
        <v>0</v>
      </c>
    </row>
    <row r="7" spans="1:29" ht="29.5" thickBot="1" x14ac:dyDescent="0.4">
      <c r="A7" s="1649" t="str">
        <f>VLOOKUP("Outros Ingresos Percibidos da Entidade Xestora da Iniciativa Comunitaria",tabIdiomas26[],MATCH('Indiv. Invoices Comparison'!$J$2,tabIdiomas26[#Headers]),FALSE)</f>
        <v>Other Incomes perceived by the Partners from the Energy Initiative Manager-Entity</v>
      </c>
      <c r="B7" s="1684">
        <f>'Datos CE e Socios'!$C$15*'Datos CE e Socios'!$B$5</f>
        <v>0</v>
      </c>
      <c r="C7" s="1449">
        <f>B7*(1+'Hipóteses xerais (2)'!$C$40)</f>
        <v>0</v>
      </c>
      <c r="D7" s="1449">
        <f>C7*(1+'Hipóteses xerais (2)'!$C$40)</f>
        <v>0</v>
      </c>
      <c r="E7" s="1449">
        <f>D7*(1+'Hipóteses xerais (2)'!$C$40)</f>
        <v>0</v>
      </c>
      <c r="F7" s="1449">
        <f>E7*(1+'Hipóteses xerais (2)'!$C$40)</f>
        <v>0</v>
      </c>
      <c r="G7" s="1449">
        <f>F7*(1+'Hipóteses xerais (2)'!$C$40)</f>
        <v>0</v>
      </c>
      <c r="H7" s="1449">
        <f>G7*(1+'Hipóteses xerais (2)'!$C$40)</f>
        <v>0</v>
      </c>
      <c r="I7" s="1449">
        <f>H7*(1+'Hipóteses xerais (2)'!$C$40)</f>
        <v>0</v>
      </c>
      <c r="J7" s="1449">
        <f>I7*(1+'Hipóteses xerais (2)'!$C$40)</f>
        <v>0</v>
      </c>
      <c r="K7" s="1449">
        <f>J7*(1+'Hipóteses xerais (2)'!$C$40)</f>
        <v>0</v>
      </c>
      <c r="L7" s="1449">
        <f>K7*(1+'Hipóteses xerais (2)'!$C$40)</f>
        <v>0</v>
      </c>
      <c r="M7" s="1449">
        <f>L7*(1+'Hipóteses xerais (2)'!$C$40)</f>
        <v>0</v>
      </c>
      <c r="N7" s="1449">
        <f>M7*(1+'Hipóteses xerais (2)'!$C$40)</f>
        <v>0</v>
      </c>
      <c r="O7" s="1449">
        <f>N7*(1+'Hipóteses xerais (2)'!$C$40)</f>
        <v>0</v>
      </c>
      <c r="P7" s="1449">
        <f>O7*(1+'Hipóteses xerais (2)'!$C$40)</f>
        <v>0</v>
      </c>
      <c r="Q7" s="1449">
        <f>P7*(1+'Hipóteses xerais (2)'!$C$40)</f>
        <v>0</v>
      </c>
      <c r="R7" s="1449">
        <f>Q7*(1+'Hipóteses xerais (2)'!$C$40)</f>
        <v>0</v>
      </c>
      <c r="S7" s="1449">
        <f>R7*(1+'Hipóteses xerais (2)'!$C$40)</f>
        <v>0</v>
      </c>
      <c r="T7" s="1449">
        <f>S7*(1+'Hipóteses xerais (2)'!$C$40)</f>
        <v>0</v>
      </c>
      <c r="U7" s="1449">
        <f>T7*(1+'Hipóteses xerais (2)'!$C$40)</f>
        <v>0</v>
      </c>
      <c r="V7" s="1449">
        <f>U7*(1+'Hipóteses xerais (2)'!$C$40)</f>
        <v>0</v>
      </c>
      <c r="W7" s="1449">
        <f>V7*(1+'Hipóteses xerais (2)'!$C$40)</f>
        <v>0</v>
      </c>
      <c r="X7" s="1449">
        <f>W7*(1+'Hipóteses xerais (2)'!$C$40)</f>
        <v>0</v>
      </c>
      <c r="Y7" s="1449">
        <f>X7*(1+'Hipóteses xerais (2)'!$C$40)</f>
        <v>0</v>
      </c>
      <c r="Z7" s="1683">
        <f>Y7*(1+'Hipóteses xerais (2)'!$C$40)</f>
        <v>0</v>
      </c>
      <c r="AA7" s="1682">
        <f>SUM(B7:Z7)</f>
        <v>0</v>
      </c>
    </row>
    <row r="8" spans="1:29" s="13" customFormat="1" ht="29.5" thickBot="1" x14ac:dyDescent="0.55000000000000004">
      <c r="A8" s="1644" t="str">
        <f>VLOOKUP("Total Ingresos Derivados da Pertenza á Iniciativa Enerxética Comunitaria",tabIdiomas26[],MATCH('Indiv. Invoices Comparison'!$J$2,tabIdiomas26[#Headers]),FALSE)</f>
        <v>Total Revenues Derived from the Community Energy Initiative Membership</v>
      </c>
      <c r="B8" s="1681">
        <f t="shared" ref="B8:AA8" si="0">SUM(B3:B7)</f>
        <v>267.96000000000004</v>
      </c>
      <c r="C8" s="1680">
        <f t="shared" si="0"/>
        <v>276.26675999999998</v>
      </c>
      <c r="D8" s="1680">
        <f t="shared" si="0"/>
        <v>284.83102955999999</v>
      </c>
      <c r="E8" s="1680">
        <f t="shared" si="0"/>
        <v>293.66079147635992</v>
      </c>
      <c r="F8" s="1680">
        <f t="shared" si="0"/>
        <v>302.76427601212703</v>
      </c>
      <c r="G8" s="1680">
        <f t="shared" si="0"/>
        <v>312.14996856850291</v>
      </c>
      <c r="H8" s="1680">
        <f t="shared" si="0"/>
        <v>321.8266175941265</v>
      </c>
      <c r="I8" s="1680">
        <f t="shared" si="0"/>
        <v>331.80324273954443</v>
      </c>
      <c r="J8" s="1680">
        <f t="shared" si="0"/>
        <v>342.08914326447024</v>
      </c>
      <c r="K8" s="1680">
        <f t="shared" si="0"/>
        <v>352.69390670566878</v>
      </c>
      <c r="L8" s="1680">
        <f t="shared" si="0"/>
        <v>363.62741781354453</v>
      </c>
      <c r="M8" s="1680">
        <f t="shared" si="0"/>
        <v>374.89986776576438</v>
      </c>
      <c r="N8" s="1680">
        <f t="shared" si="0"/>
        <v>386.52176366650303</v>
      </c>
      <c r="O8" s="1680">
        <f t="shared" si="0"/>
        <v>398.50393834016461</v>
      </c>
      <c r="P8" s="1680">
        <f t="shared" si="0"/>
        <v>410.85756042870963</v>
      </c>
      <c r="Q8" s="1680">
        <f t="shared" si="0"/>
        <v>423.59414480199962</v>
      </c>
      <c r="R8" s="1680">
        <f t="shared" si="0"/>
        <v>436.72556329086149</v>
      </c>
      <c r="S8" s="1680">
        <f t="shared" si="0"/>
        <v>450.26405575287822</v>
      </c>
      <c r="T8" s="1680">
        <f t="shared" si="0"/>
        <v>464.22224148121734</v>
      </c>
      <c r="U8" s="1680">
        <f t="shared" si="0"/>
        <v>478.61313096713508</v>
      </c>
      <c r="V8" s="1680">
        <f t="shared" si="0"/>
        <v>493.45013802711622</v>
      </c>
      <c r="W8" s="1680">
        <f t="shared" si="0"/>
        <v>508.7470923059567</v>
      </c>
      <c r="X8" s="1680">
        <f t="shared" si="0"/>
        <v>524.51825216744146</v>
      </c>
      <c r="Y8" s="1680">
        <f t="shared" si="0"/>
        <v>540.77831798463205</v>
      </c>
      <c r="Z8" s="1679">
        <f t="shared" si="0"/>
        <v>557.54244584215564</v>
      </c>
      <c r="AA8" s="1678">
        <f t="shared" si="0"/>
        <v>9898.9116665568799</v>
      </c>
      <c r="AB8" s="1120"/>
      <c r="AC8" s="1120"/>
    </row>
    <row r="9" spans="1:29" ht="15" thickTop="1" x14ac:dyDescent="0.35"/>
    <row r="10" spans="1:29" ht="15" thickBot="1" x14ac:dyDescent="0.4">
      <c r="AA10" s="1006"/>
    </row>
    <row r="11" spans="1:29" ht="15.5" thickTop="1" thickBot="1" x14ac:dyDescent="0.4">
      <c r="B11" s="1128">
        <v>1</v>
      </c>
      <c r="C11" s="1127">
        <v>2</v>
      </c>
      <c r="D11" s="1127">
        <v>3</v>
      </c>
      <c r="E11" s="1127">
        <v>4</v>
      </c>
      <c r="F11" s="1127">
        <v>5</v>
      </c>
      <c r="G11" s="1127">
        <v>6</v>
      </c>
      <c r="H11" s="1127">
        <v>7</v>
      </c>
      <c r="I11" s="1127">
        <v>8</v>
      </c>
      <c r="J11" s="1127">
        <v>9</v>
      </c>
      <c r="K11" s="1127">
        <v>10</v>
      </c>
      <c r="L11" s="1127">
        <v>11</v>
      </c>
      <c r="M11" s="1127">
        <v>12</v>
      </c>
      <c r="N11" s="1127">
        <v>13</v>
      </c>
      <c r="O11" s="1127">
        <v>14</v>
      </c>
      <c r="P11" s="1127">
        <v>15</v>
      </c>
      <c r="Q11" s="1127">
        <v>16</v>
      </c>
      <c r="R11" s="1127">
        <v>17</v>
      </c>
      <c r="S11" s="1127">
        <v>18</v>
      </c>
      <c r="T11" s="1127">
        <v>19</v>
      </c>
      <c r="U11" s="1127">
        <v>20</v>
      </c>
      <c r="V11" s="1127">
        <v>21</v>
      </c>
      <c r="W11" s="1127">
        <v>22</v>
      </c>
      <c r="X11" s="1127">
        <v>23</v>
      </c>
      <c r="Y11" s="1127">
        <v>24</v>
      </c>
      <c r="Z11" s="1127">
        <v>25</v>
      </c>
      <c r="AA11" s="1126" t="str">
        <f>VLOOKUP("Total",tabIdiomas26[],MATCH('Indiv. Invoices Comparison'!$J$2,tabIdiomas26[#Headers]),FALSE)</f>
        <v>Total</v>
      </c>
    </row>
    <row r="12" spans="1:29" ht="15" thickBot="1" x14ac:dyDescent="0.4">
      <c r="B12" s="1639">
        <v>2025</v>
      </c>
      <c r="C12" s="1342">
        <v>2026</v>
      </c>
      <c r="D12" s="1342">
        <v>2027</v>
      </c>
      <c r="E12" s="1342">
        <v>2028</v>
      </c>
      <c r="F12" s="1342">
        <v>2029</v>
      </c>
      <c r="G12" s="1342">
        <v>2030</v>
      </c>
      <c r="H12" s="1342">
        <v>2031</v>
      </c>
      <c r="I12" s="1342">
        <v>2032</v>
      </c>
      <c r="J12" s="1342">
        <v>2033</v>
      </c>
      <c r="K12" s="1342">
        <v>2034</v>
      </c>
      <c r="L12" s="1342">
        <v>2035</v>
      </c>
      <c r="M12" s="1342">
        <v>2036</v>
      </c>
      <c r="N12" s="1342">
        <v>2037</v>
      </c>
      <c r="O12" s="1342">
        <v>2038</v>
      </c>
      <c r="P12" s="1342">
        <v>2039</v>
      </c>
      <c r="Q12" s="1342">
        <v>2040</v>
      </c>
      <c r="R12" s="1342">
        <v>2041</v>
      </c>
      <c r="S12" s="1342">
        <v>2042</v>
      </c>
      <c r="T12" s="1342">
        <v>2043</v>
      </c>
      <c r="U12" s="1342">
        <v>2044</v>
      </c>
      <c r="V12" s="1342">
        <v>2045</v>
      </c>
      <c r="W12" s="1342">
        <v>2046</v>
      </c>
      <c r="X12" s="1342">
        <v>2047</v>
      </c>
      <c r="Y12" s="1342">
        <v>2048</v>
      </c>
      <c r="Z12" s="1638">
        <v>2049</v>
      </c>
      <c r="AA12" s="1124" t="str">
        <f>VLOOKUP("Conxunto do Proxecto",tabIdiomas26[],MATCH('Indiv. Invoices Comparison'!$J$2,tabIdiomas26[#Headers]),FALSE)</f>
        <v>Project Lifetime</v>
      </c>
    </row>
    <row r="13" spans="1:29" s="13" customFormat="1" ht="15" thickTop="1" x14ac:dyDescent="0.35">
      <c r="A13" s="1677" t="str">
        <f>VLOOKUP("Cota Extraordinaria Inicial (Só Primeiro Ano)",tabIdiomas26[],MATCH('Indiv. Invoices Comparison'!$J$2,tabIdiomas26[#Headers]),FALSE)</f>
        <v>Extraordinary Initial Membership Fee (Only for the First Year)</v>
      </c>
      <c r="B13" s="1588">
        <f>'Conta explotación'!F10*'Datos CE e Socios'!$B$5</f>
        <v>0</v>
      </c>
      <c r="C13" s="1587">
        <f>'Conta explotación'!G10*'Datos CE e Socios'!$B$5</f>
        <v>0</v>
      </c>
      <c r="D13" s="1587">
        <f>'Conta explotación'!H10*'Datos CE e Socios'!$B$5</f>
        <v>0</v>
      </c>
      <c r="E13" s="1587">
        <f>'Conta explotación'!I10*'Datos CE e Socios'!$B$5</f>
        <v>0</v>
      </c>
      <c r="F13" s="1587">
        <f>'Conta explotación'!J10*'Datos CE e Socios'!$B$5</f>
        <v>0</v>
      </c>
      <c r="G13" s="1587">
        <f>'Conta explotación'!K10*'Datos CE e Socios'!$B$5</f>
        <v>0</v>
      </c>
      <c r="H13" s="1587">
        <f>'Conta explotación'!L10*'Datos CE e Socios'!$B$5</f>
        <v>0</v>
      </c>
      <c r="I13" s="1587">
        <f>'Conta explotación'!M10*'Datos CE e Socios'!$B$5</f>
        <v>0</v>
      </c>
      <c r="J13" s="1587">
        <f>'Conta explotación'!N10*'Datos CE e Socios'!$B$5</f>
        <v>0</v>
      </c>
      <c r="K13" s="1587">
        <f>'Conta explotación'!O10*'Datos CE e Socios'!$B$5</f>
        <v>0</v>
      </c>
      <c r="L13" s="1587">
        <f>'Conta explotación'!P10*'Datos CE e Socios'!$B$5</f>
        <v>0</v>
      </c>
      <c r="M13" s="1587">
        <f>'Conta explotación'!Q10*'Datos CE e Socios'!$B$5</f>
        <v>0</v>
      </c>
      <c r="N13" s="1587">
        <f>'Conta explotación'!R10*'Datos CE e Socios'!$B$5</f>
        <v>0</v>
      </c>
      <c r="O13" s="1587">
        <f>'Conta explotación'!S10*'Datos CE e Socios'!$B$5</f>
        <v>0</v>
      </c>
      <c r="P13" s="1587">
        <f>'Conta explotación'!T10*'Datos CE e Socios'!$B$5</f>
        <v>0</v>
      </c>
      <c r="Q13" s="1587">
        <f>'Conta explotación'!U10*'Datos CE e Socios'!$B$5</f>
        <v>0</v>
      </c>
      <c r="R13" s="1587">
        <f>'Conta explotación'!V10*'Datos CE e Socios'!$B$5</f>
        <v>0</v>
      </c>
      <c r="S13" s="1587">
        <f>'Conta explotación'!W10*'Datos CE e Socios'!$B$5</f>
        <v>0</v>
      </c>
      <c r="T13" s="1587">
        <f>'Conta explotación'!X10*'Datos CE e Socios'!$B$5</f>
        <v>0</v>
      </c>
      <c r="U13" s="1587">
        <f>'Conta explotación'!Y10*'Datos CE e Socios'!$B$5</f>
        <v>0</v>
      </c>
      <c r="V13" s="1587">
        <f>'Conta explotación'!Z10*'Datos CE e Socios'!$B$5</f>
        <v>0</v>
      </c>
      <c r="W13" s="1587">
        <f>'Conta explotación'!AA10*'Datos CE e Socios'!$B$5</f>
        <v>0</v>
      </c>
      <c r="X13" s="1587">
        <f>'Conta explotación'!AB10*'Datos CE e Socios'!$B$5</f>
        <v>0</v>
      </c>
      <c r="Y13" s="1587">
        <f>'Conta explotación'!AC10*'Datos CE e Socios'!$B$5</f>
        <v>0</v>
      </c>
      <c r="Z13" s="1586">
        <f>'Conta explotación'!AD10*'Datos CE e Socios'!$B$5</f>
        <v>0</v>
      </c>
      <c r="AA13" s="1633">
        <f>SUM(B13:Z13)</f>
        <v>0</v>
      </c>
      <c r="AB13" s="1120"/>
      <c r="AC13" s="1120"/>
    </row>
    <row r="14" spans="1:29" ht="15" thickBot="1" x14ac:dyDescent="0.4">
      <c r="A14" s="1676" t="str">
        <f>VLOOKUP("Cotas de Socios",tabIdiomas26[],MATCH('Indiv. Invoices Comparison'!$J$2,tabIdiomas26[#Headers]),FALSE)</f>
        <v>Membership Fees</v>
      </c>
      <c r="B14" s="1631">
        <f>'Conta explotación'!F11*'Datos CE e Socios'!$B$5</f>
        <v>98.818799999999996</v>
      </c>
      <c r="C14" s="1630">
        <f>'Conta explotación'!G11*'Datos CE e Socios'!$B$5</f>
        <v>98.4</v>
      </c>
      <c r="D14" s="1630">
        <f>'Conta explotación'!H11*'Datos CE e Socios'!$B$5</f>
        <v>102.98239999999998</v>
      </c>
      <c r="E14" s="1630">
        <f>'Conta explotación'!I11*'Datos CE e Socios'!$B$5</f>
        <v>107.71143680000002</v>
      </c>
      <c r="F14" s="1630">
        <f>'Conta explotación'!J11*'Datos CE e Socios'!$B$5</f>
        <v>112.59180277760001</v>
      </c>
      <c r="G14" s="1630">
        <f>'Conta explotación'!K11*'Datos CE e Socios'!$B$5</f>
        <v>117.62834046648321</v>
      </c>
      <c r="H14" s="1630">
        <f>'Conta explotación'!L11*'Datos CE e Socios'!$B$5</f>
        <v>122.82604736141067</v>
      </c>
      <c r="I14" s="1630">
        <f>'Conta explotación'!M11*'Datos CE e Socios'!$B$5</f>
        <v>128.1900808769758</v>
      </c>
      <c r="J14" s="1630">
        <f>'Conta explotación'!N11*'Datos CE e Socios'!$B$5</f>
        <v>133.72576346503908</v>
      </c>
      <c r="K14" s="1630">
        <f>'Conta explotación'!O11*'Datos CE e Socios'!$B$5</f>
        <v>139.43858789592031</v>
      </c>
      <c r="L14" s="1630">
        <f>'Conta explotación'!P11*'Datos CE e Socios'!$B$5</f>
        <v>145.33422270858978</v>
      </c>
      <c r="M14" s="1630">
        <f>'Conta explotación'!Q11*'Datos CE e Socios'!$B$5</f>
        <v>151.41851783526468</v>
      </c>
      <c r="N14" s="1630">
        <f>'Conta explotación'!R11*'Datos CE e Socios'!$B$5</f>
        <v>157.69751040599311</v>
      </c>
      <c r="O14" s="1630">
        <f>'Conta explotación'!S11*'Datos CE e Socios'!$B$5</f>
        <v>164.17743073898495</v>
      </c>
      <c r="P14" s="1630">
        <f>'Conta explotación'!T11*'Datos CE e Socios'!$B$5</f>
        <v>170.86470852263247</v>
      </c>
      <c r="Q14" s="1630">
        <f>'Conta explotación'!U11*'Datos CE e Socios'!$B$5</f>
        <v>177.76597919535672</v>
      </c>
      <c r="R14" s="1630">
        <f>'Conta explotación'!V11*'Datos CE e Socios'!$B$5</f>
        <v>184.88809052960812</v>
      </c>
      <c r="S14" s="1630">
        <f>'Conta explotación'!W11*'Datos CE e Socios'!$B$5</f>
        <v>192.23810942655558</v>
      </c>
      <c r="T14" s="1630">
        <f>'Conta explotación'!X11*'Datos CE e Socios'!$B$5</f>
        <v>199.82332892820543</v>
      </c>
      <c r="U14" s="1630">
        <f>'Conta explotación'!Y11*'Datos CE e Socios'!$B$5</f>
        <v>207.65127545390794</v>
      </c>
      <c r="V14" s="1630">
        <f>'Conta explotación'!Z11*'Datos CE e Socios'!$B$5</f>
        <v>215.72971626843304</v>
      </c>
      <c r="W14" s="1630">
        <f>'Conta explotación'!AA11*'Datos CE e Socios'!$B$5</f>
        <v>224.06666718902289</v>
      </c>
      <c r="X14" s="1630">
        <f>'Conta explotación'!AB11*'Datos CE e Socios'!$B$5</f>
        <v>232.67040053907164</v>
      </c>
      <c r="Y14" s="1630">
        <f>'Conta explotación'!AC11*'Datos CE e Socios'!$B$5</f>
        <v>241.54945335632186</v>
      </c>
      <c r="Z14" s="1629">
        <f>'Conta explotación'!AD11*'Datos CE e Socios'!$B$5</f>
        <v>250.71263586372424</v>
      </c>
      <c r="AA14" s="1628">
        <f>SUM(B14:Z14)</f>
        <v>4078.901306605102</v>
      </c>
    </row>
    <row r="15" spans="1:29" ht="15" thickBot="1" x14ac:dyDescent="0.4">
      <c r="A15" s="1675" t="str">
        <f>VLOOKUP("Cargos por Prestación de Servizos Complementarios aos Socios",tabIdiomas26[],MATCH('Indiv. Invoices Comparison'!$J$2,tabIdiomas26[#Headers]),FALSE)</f>
        <v>Charges for Complementary Services Provision to Partners</v>
      </c>
      <c r="B15" s="1626">
        <f>'Conta explotación'!F12*'Datos CE e Socios'!$B$5</f>
        <v>0</v>
      </c>
      <c r="C15" s="1625">
        <f>'Conta explotación'!G12*'Datos CE e Socios'!$B$5</f>
        <v>0</v>
      </c>
      <c r="D15" s="1625">
        <f>'Conta explotación'!H12*'Datos CE e Socios'!$B$5</f>
        <v>0</v>
      </c>
      <c r="E15" s="1625">
        <f>'Conta explotación'!I12*'Datos CE e Socios'!$B$5</f>
        <v>0</v>
      </c>
      <c r="F15" s="1625">
        <f>'Conta explotación'!J12*'Datos CE e Socios'!$B$5</f>
        <v>0</v>
      </c>
      <c r="G15" s="1625">
        <f>'Conta explotación'!K12*'Datos CE e Socios'!$B$5</f>
        <v>0</v>
      </c>
      <c r="H15" s="1625">
        <f>'Conta explotación'!L12*'Datos CE e Socios'!$B$5</f>
        <v>0</v>
      </c>
      <c r="I15" s="1625">
        <f>'Conta explotación'!M12*'Datos CE e Socios'!$B$5</f>
        <v>0</v>
      </c>
      <c r="J15" s="1625">
        <f>'Conta explotación'!N12*'Datos CE e Socios'!$B$5</f>
        <v>0</v>
      </c>
      <c r="K15" s="1625">
        <f>'Conta explotación'!O12*'Datos CE e Socios'!$B$5</f>
        <v>0</v>
      </c>
      <c r="L15" s="1625">
        <f>'Conta explotación'!P12*'Datos CE e Socios'!$B$5</f>
        <v>0</v>
      </c>
      <c r="M15" s="1625">
        <f>'Conta explotación'!Q12*'Datos CE e Socios'!$B$5</f>
        <v>0</v>
      </c>
      <c r="N15" s="1625">
        <f>'Conta explotación'!R12*'Datos CE e Socios'!$B$5</f>
        <v>0</v>
      </c>
      <c r="O15" s="1625">
        <f>'Conta explotación'!S12*'Datos CE e Socios'!$B$5</f>
        <v>0</v>
      </c>
      <c r="P15" s="1625">
        <f>'Conta explotación'!T12*'Datos CE e Socios'!$B$5</f>
        <v>0</v>
      </c>
      <c r="Q15" s="1625">
        <f>'Conta explotación'!U12*'Datos CE e Socios'!$B$5</f>
        <v>0</v>
      </c>
      <c r="R15" s="1625">
        <f>'Conta explotación'!V12*'Datos CE e Socios'!$B$5</f>
        <v>0</v>
      </c>
      <c r="S15" s="1625">
        <f>'Conta explotación'!W12*'Datos CE e Socios'!$B$5</f>
        <v>0</v>
      </c>
      <c r="T15" s="1625">
        <f>'Conta explotación'!X12*'Datos CE e Socios'!$B$5</f>
        <v>0</v>
      </c>
      <c r="U15" s="1625">
        <f>'Conta explotación'!Y12*'Datos CE e Socios'!$B$5</f>
        <v>0</v>
      </c>
      <c r="V15" s="1625">
        <f>'Conta explotación'!Z12*'Datos CE e Socios'!$B$5</f>
        <v>0</v>
      </c>
      <c r="W15" s="1625">
        <f>'Conta explotación'!AA12*'Datos CE e Socios'!$B$5</f>
        <v>0</v>
      </c>
      <c r="X15" s="1625">
        <f>'Conta explotación'!AB12*'Datos CE e Socios'!$B$5</f>
        <v>0</v>
      </c>
      <c r="Y15" s="1625">
        <f>'Conta explotación'!AC12*'Datos CE e Socios'!$B$5</f>
        <v>0</v>
      </c>
      <c r="Z15" s="1624">
        <f>'Conta explotación'!AD12*'Datos CE e Socios'!$B$5</f>
        <v>0</v>
      </c>
      <c r="AA15" s="1623">
        <f>SUM(B15:Z15)</f>
        <v>0</v>
      </c>
    </row>
    <row r="16" spans="1:29" s="13" customFormat="1" ht="29.5" thickBot="1" x14ac:dyDescent="0.4">
      <c r="A16" s="1622" t="str">
        <f>VLOOKUP("Total Gastos Derivados da Pertenza á Iniciativa Enerxética Comunitaria",tabIdiomas26[],MATCH('Indiv. Invoices Comparison'!$J$2,tabIdiomas26[#Headers]),FALSE)</f>
        <v>Total Expenses Deriving From Community Energy Initiative Membership</v>
      </c>
      <c r="B16" s="1582">
        <f t="shared" ref="B16:Z16" si="1">SUM(B13:B15)</f>
        <v>98.818799999999996</v>
      </c>
      <c r="C16" s="1581">
        <f t="shared" si="1"/>
        <v>98.4</v>
      </c>
      <c r="D16" s="1581">
        <f t="shared" si="1"/>
        <v>102.98239999999998</v>
      </c>
      <c r="E16" s="1581">
        <f t="shared" si="1"/>
        <v>107.71143680000002</v>
      </c>
      <c r="F16" s="1581">
        <f t="shared" si="1"/>
        <v>112.59180277760001</v>
      </c>
      <c r="G16" s="1581">
        <f t="shared" si="1"/>
        <v>117.62834046648321</v>
      </c>
      <c r="H16" s="1581">
        <f t="shared" si="1"/>
        <v>122.82604736141067</v>
      </c>
      <c r="I16" s="1581">
        <f t="shared" si="1"/>
        <v>128.1900808769758</v>
      </c>
      <c r="J16" s="1581">
        <f t="shared" si="1"/>
        <v>133.72576346503908</v>
      </c>
      <c r="K16" s="1581">
        <f t="shared" si="1"/>
        <v>139.43858789592031</v>
      </c>
      <c r="L16" s="1581">
        <f t="shared" si="1"/>
        <v>145.33422270858978</v>
      </c>
      <c r="M16" s="1581">
        <f t="shared" si="1"/>
        <v>151.41851783526468</v>
      </c>
      <c r="N16" s="1581">
        <f t="shared" si="1"/>
        <v>157.69751040599311</v>
      </c>
      <c r="O16" s="1581">
        <f t="shared" si="1"/>
        <v>164.17743073898495</v>
      </c>
      <c r="P16" s="1581">
        <f t="shared" si="1"/>
        <v>170.86470852263247</v>
      </c>
      <c r="Q16" s="1581">
        <f t="shared" si="1"/>
        <v>177.76597919535672</v>
      </c>
      <c r="R16" s="1581">
        <f t="shared" si="1"/>
        <v>184.88809052960812</v>
      </c>
      <c r="S16" s="1581">
        <f t="shared" si="1"/>
        <v>192.23810942655558</v>
      </c>
      <c r="T16" s="1581">
        <f t="shared" si="1"/>
        <v>199.82332892820543</v>
      </c>
      <c r="U16" s="1581">
        <f t="shared" si="1"/>
        <v>207.65127545390794</v>
      </c>
      <c r="V16" s="1581">
        <f t="shared" si="1"/>
        <v>215.72971626843304</v>
      </c>
      <c r="W16" s="1581">
        <f t="shared" si="1"/>
        <v>224.06666718902289</v>
      </c>
      <c r="X16" s="1581">
        <f t="shared" si="1"/>
        <v>232.67040053907164</v>
      </c>
      <c r="Y16" s="1581">
        <f t="shared" si="1"/>
        <v>241.54945335632186</v>
      </c>
      <c r="Z16" s="1580">
        <f t="shared" si="1"/>
        <v>250.71263586372424</v>
      </c>
      <c r="AA16" s="1579">
        <f>SUM(B16:Z16)</f>
        <v>4078.901306605102</v>
      </c>
    </row>
    <row r="17" spans="1:40" ht="15.5" thickTop="1" thickBot="1" x14ac:dyDescent="0.4">
      <c r="AA17" s="619"/>
    </row>
    <row r="18" spans="1:40" ht="30" thickTop="1" thickBot="1" x14ac:dyDescent="0.4">
      <c r="A18" s="1674" t="str">
        <f>VLOOKUP("Resultado Anual da Participación do Socio Individual na Iniciativa Enerxética Comunitaria",tabIdiomas26[],MATCH('Indiv. Invoices Comparison'!$J$2,tabIdiomas26[#Headers]),FALSE)</f>
        <v>Annual Result of the Membership of the Individual Partner in the Community Energy Initiative</v>
      </c>
      <c r="B18" s="1673">
        <f t="shared" ref="B18:Z18" si="2">B8-B16</f>
        <v>169.14120000000003</v>
      </c>
      <c r="C18" s="1673">
        <f t="shared" si="2"/>
        <v>177.86675999999997</v>
      </c>
      <c r="D18" s="1673">
        <f t="shared" si="2"/>
        <v>181.84862956000001</v>
      </c>
      <c r="E18" s="1673">
        <f t="shared" si="2"/>
        <v>185.94935467635992</v>
      </c>
      <c r="F18" s="1673">
        <f t="shared" si="2"/>
        <v>190.17247323452702</v>
      </c>
      <c r="G18" s="1673">
        <f t="shared" si="2"/>
        <v>194.52162810201969</v>
      </c>
      <c r="H18" s="1673">
        <f t="shared" si="2"/>
        <v>199.00057023271583</v>
      </c>
      <c r="I18" s="1673">
        <f t="shared" si="2"/>
        <v>203.61316186256863</v>
      </c>
      <c r="J18" s="1673">
        <f t="shared" si="2"/>
        <v>208.36337979943116</v>
      </c>
      <c r="K18" s="1673">
        <f t="shared" si="2"/>
        <v>213.25531880974847</v>
      </c>
      <c r="L18" s="1673">
        <f t="shared" si="2"/>
        <v>218.29319510495475</v>
      </c>
      <c r="M18" s="1673">
        <f t="shared" si="2"/>
        <v>223.4813499304997</v>
      </c>
      <c r="N18" s="1673">
        <f t="shared" si="2"/>
        <v>228.82425326050992</v>
      </c>
      <c r="O18" s="1673">
        <f t="shared" si="2"/>
        <v>234.32650760117966</v>
      </c>
      <c r="P18" s="1673">
        <f t="shared" si="2"/>
        <v>239.99285190607716</v>
      </c>
      <c r="Q18" s="1673">
        <f t="shared" si="2"/>
        <v>245.8281656066429</v>
      </c>
      <c r="R18" s="1673">
        <f t="shared" si="2"/>
        <v>251.83747276125337</v>
      </c>
      <c r="S18" s="1673">
        <f t="shared" si="2"/>
        <v>258.02594632632264</v>
      </c>
      <c r="T18" s="1673">
        <f t="shared" si="2"/>
        <v>264.39891255301188</v>
      </c>
      <c r="U18" s="1673">
        <f t="shared" si="2"/>
        <v>270.96185551322714</v>
      </c>
      <c r="V18" s="1673">
        <f t="shared" si="2"/>
        <v>277.72042175868319</v>
      </c>
      <c r="W18" s="1673">
        <f t="shared" si="2"/>
        <v>284.6804251169338</v>
      </c>
      <c r="X18" s="1673">
        <f t="shared" si="2"/>
        <v>291.84785162836982</v>
      </c>
      <c r="Y18" s="1673">
        <f t="shared" si="2"/>
        <v>299.22886462831019</v>
      </c>
      <c r="Z18" s="1672">
        <f t="shared" si="2"/>
        <v>306.8298099784314</v>
      </c>
      <c r="AA18" s="1671">
        <f>SUM(B18:Z18)</f>
        <v>5820.0103599517788</v>
      </c>
      <c r="AB18" s="623"/>
      <c r="AC18" s="623"/>
      <c r="AD18" s="623"/>
      <c r="AE18" s="623"/>
      <c r="AF18" s="623"/>
      <c r="AG18" s="623"/>
      <c r="AH18" s="623"/>
      <c r="AI18" s="623"/>
      <c r="AJ18" s="623"/>
      <c r="AK18" s="623"/>
      <c r="AL18" s="623"/>
      <c r="AM18" s="623"/>
      <c r="AN18" s="623"/>
    </row>
    <row r="19" spans="1:40" ht="15" thickTop="1" x14ac:dyDescent="0.35"/>
    <row r="22" spans="1:40" x14ac:dyDescent="0.35">
      <c r="A22" s="1134" t="str">
        <f>VLOOKUP("Importante:",tabIdiomas26[],MATCH('Indiv. Invoices Comparison'!$J$2,tabIdiomas26[#Headers]),FALSE)</f>
        <v>Important Notice:</v>
      </c>
      <c r="B22" s="654"/>
    </row>
    <row r="23" spans="1:40" ht="29" x14ac:dyDescent="0.35">
      <c r="A23" s="1133" t="str">
        <f>VLOOKUP("Os datos desta folla cumpliméntase automaticamente, polo que non procede a súa modificación manual.",tabIdiomas26[],MATCH('Indiv. Invoices Comparison'!$J$2,tabIdiomas26[#Headers]),FALSE)</f>
        <v>Data on this sheet are automatically filled-in. For this reason it would not be appropriate modifying them manually.</v>
      </c>
      <c r="B23" s="654"/>
    </row>
    <row r="26" spans="1:40" ht="15" thickBot="1" x14ac:dyDescent="0.4"/>
    <row r="27" spans="1:40" ht="30" thickTop="1" thickBot="1" x14ac:dyDescent="0.4">
      <c r="A27" s="1670" t="str">
        <f>VLOOKUP("Aportación Inicial do Socio á Iniciativa Enerxética Comunitaria",tabIdiomas26[],MATCH('Indiv. Invoices Comparison'!$J$2,tabIdiomas26[#Headers]),FALSE)</f>
        <v>Initial Partner Contribution to the Community Energy Initiative</v>
      </c>
      <c r="B27" s="1669">
        <f>'Conta Individ. Socio'!B26</f>
        <v>2806</v>
      </c>
    </row>
    <row r="28" spans="1:40" x14ac:dyDescent="0.35">
      <c r="A28" s="1668" t="str">
        <f>VLOOKUP("Valor Actual Neto dos Fluxos Positivos de Valor Económico",tabIdiomas26[],MATCH('Indiv. Invoices Comparison'!$J$2,tabIdiomas26[#Headers]),FALSE)</f>
        <v>Net Present Value of the Positive Flows of Economic Value</v>
      </c>
      <c r="B28" s="1099">
        <f>'Conta Individ. Socio'!B27</f>
        <v>3787.7303456472969</v>
      </c>
    </row>
    <row r="29" spans="1:40" ht="15" thickBot="1" x14ac:dyDescent="0.4">
      <c r="A29" s="1667" t="str">
        <f>VLOOKUP("Valor Actual Neto dos Fluxos de Valor Económico Esperados",tabIdiomas26[],MATCH('Indiv. Invoices Comparison'!$J$2,tabIdiomas26[#Headers]),FALSE)</f>
        <v>Net Present Value of the Expected Flows of Economic Value</v>
      </c>
      <c r="B29" s="1097">
        <f>'Conta Individ. Socio'!B28</f>
        <v>950.78237920420008</v>
      </c>
    </row>
    <row r="30" spans="1:40" x14ac:dyDescent="0.35">
      <c r="A30" s="1666" t="str">
        <f>VLOOKUP("TIR do Socio Individual (%)",tabIdiomas26[],MATCH('Indiv. Invoices Comparison'!$J$2,tabIdiomas26[#Headers]),FALSE)</f>
        <v>Individual Partner IRR (%)</v>
      </c>
      <c r="B30" s="1095">
        <f>'Conta Individ. Socio'!B29</f>
        <v>5.8845201158906235E-2</v>
      </c>
    </row>
    <row r="31" spans="1:40" ht="15" thickBot="1" x14ac:dyDescent="0.4">
      <c r="A31" s="1665" t="str">
        <f>VLOOKUP("TIR Modificada do Socio Individual (%)",tabIdiomas26[],MATCH('Indiv. Invoices Comparison'!$J$2,tabIdiomas26[#Headers]),FALSE)</f>
        <v>Individual Partner Modified IRR (%)</v>
      </c>
      <c r="B31" s="1093">
        <f>'Conta Individ. Socio'!B30</f>
        <v>4.5015534666871249E-2</v>
      </c>
    </row>
    <row r="32" spans="1:40" ht="15.5" thickTop="1" thickBot="1" x14ac:dyDescent="0.4"/>
    <row r="33" spans="1:2" ht="15.5" thickTop="1" thickBot="1" x14ac:dyDescent="0.4">
      <c r="A33" s="947" t="str">
        <f>VLOOKUP("Período de Recuperación do Investimento (Anos)",tabIdiomas26[],MATCH('Indiv. Invoices Comparison'!$J$2,tabIdiomas26[#Headers]),FALSE)</f>
        <v>Payback Period (Years)</v>
      </c>
      <c r="B33" s="1092">
        <f>'Conta Individ. Socio'!$B$33</f>
        <v>18.520325788400825</v>
      </c>
    </row>
    <row r="34" spans="1:2" ht="15" thickTop="1" x14ac:dyDescent="0.35"/>
  </sheetData>
  <sheetProtection algorithmName="SHA-512" hashValue="8h5mPjIwwbOvapsEXZQsFoSZbc3p+LLX0ghhr38HKrzJAVtrRiR9llCy9E/7Eq76CxrDLTidtIf1zj378G/bYQ==" saltValue="vOK87fUXcEJoipZ7oISy0g==" spinCount="100000" sheet="1" objects="1" scenarios="1"/>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69572-2027-489E-9991-6D203DC7821F}">
  <dimension ref="A1:J41"/>
  <sheetViews>
    <sheetView workbookViewId="0">
      <selection sqref="A1:C22"/>
    </sheetView>
  </sheetViews>
  <sheetFormatPr baseColWidth="10" defaultColWidth="11.54296875" defaultRowHeight="14.5" x14ac:dyDescent="0.35"/>
  <cols>
    <col min="1" max="1" width="59.54296875" customWidth="1"/>
    <col min="2" max="2" width="37" bestFit="1" customWidth="1"/>
    <col min="3" max="3" width="36.6328125" customWidth="1"/>
    <col min="4" max="4" width="14.453125" customWidth="1"/>
    <col min="5" max="5" width="28.6328125" customWidth="1"/>
    <col min="6" max="6" width="21.81640625" hidden="1" customWidth="1"/>
    <col min="9" max="10" width="0" hidden="1" customWidth="1"/>
  </cols>
  <sheetData>
    <row r="1" spans="1:10" ht="15" thickBot="1" x14ac:dyDescent="0.4">
      <c r="A1" s="1719" t="str">
        <f>VLOOKUP("Concepto Faturado",tabIdiomas26[],MATCH($J$2,tabIdiomas26[#Headers]),FALSE)</f>
        <v>Invoiced Concept</v>
      </c>
      <c r="B1" s="1719" t="str">
        <f>VLOOKUP("Sen CE (€)",tabIdiomas26[],MATCH($J$2,tabIdiomas26[#Headers]),FALSE)</f>
        <v>Without a Community Energy Initiative (€)</v>
      </c>
      <c r="C1" s="1342" t="str">
        <f>VLOOKUP("Con CE (€)",tabIdiomas26[],MATCH($J$2,tabIdiomas26[#Headers]),FALSE)</f>
        <v>With a Community Energy Initiative (€)</v>
      </c>
      <c r="D1" s="1719" t="str">
        <f>VLOOKUP("Diferencia",tabIdiomas26[],MATCH($J$2,tabIdiomas26[#Headers]),FALSE)</f>
        <v>Difference</v>
      </c>
      <c r="E1" s="1705" t="str">
        <f>VLOOKUP("Dif. En %",tabIdiomas26[],MATCH($J$2,tabIdiomas26[#Headers]),FALSE)</f>
        <v>Difference (%)</v>
      </c>
    </row>
    <row r="2" spans="1:10" ht="15.5" thickTop="1" thickBot="1" x14ac:dyDescent="0.4">
      <c r="A2" t="str">
        <f>VLOOKUP("Termo de Potencia (P1)",tabIdiomas26[],MATCH($J$2,tabIdiomas26[#Headers]),FALSE)</f>
        <v>Power Term (Peak Period, Period 1)</v>
      </c>
      <c r="B2" s="150">
        <f>'Simulac. Factura Indiv. Sen CE'!D2</f>
        <v>10.037500000000001</v>
      </c>
      <c r="C2" s="150">
        <f>'Simulac. Factura Indiv. Con CE'!D2</f>
        <v>10.037500000000001</v>
      </c>
      <c r="D2" s="1243">
        <f>C2-B2</f>
        <v>0</v>
      </c>
      <c r="E2" s="1718">
        <f>D2/B2</f>
        <v>0</v>
      </c>
      <c r="I2" s="240" t="str">
        <f>VLOOKUP("Lingua",tabIdiomas26[],MATCH($J$2,tabIdiomas26[#Headers]),FALSE)</f>
        <v>Language</v>
      </c>
      <c r="J2" s="241" t="str">
        <f>'Operating Account'!$G$2</f>
        <v>English</v>
      </c>
    </row>
    <row r="3" spans="1:10" ht="15" thickTop="1" x14ac:dyDescent="0.35">
      <c r="A3" t="str">
        <f>VLOOKUP("Termo de Potencia (P2)",tabIdiomas26[],MATCH($J$2,tabIdiomas26[#Headers]),FALSE)</f>
        <v>Power Term (Valley Period, Period 2)</v>
      </c>
      <c r="B3" s="150">
        <f>'Simulac. Factura Indiv. Sen CE'!D3</f>
        <v>3.01125</v>
      </c>
      <c r="C3" s="150">
        <f>'Simulac. Factura Indiv. Con CE'!D3</f>
        <v>3.01125</v>
      </c>
      <c r="D3" s="1243">
        <f>C3-B3</f>
        <v>0</v>
      </c>
      <c r="E3" s="1718">
        <f>D3/B3</f>
        <v>0</v>
      </c>
    </row>
    <row r="4" spans="1:10" x14ac:dyDescent="0.35">
      <c r="A4" t="str">
        <f>VLOOKUP("Termo de Enerxía (Consumo)",tabIdiomas26[],MATCH($J$2,tabIdiomas26[#Headers]),FALSE)</f>
        <v>Energy Term (Consumption)</v>
      </c>
      <c r="B4" s="150">
        <f>'Simulac. Factura Indiv. Sen CE'!D4</f>
        <v>29.441000000000003</v>
      </c>
      <c r="C4" s="150">
        <f>'Simulac. Factura Indiv. Con CE'!D4</f>
        <v>14.720500000000001</v>
      </c>
      <c r="D4" s="1243">
        <f>C4-B4</f>
        <v>-14.720500000000001</v>
      </c>
      <c r="E4" s="1718">
        <f>D4/B4</f>
        <v>-0.5</v>
      </c>
    </row>
    <row r="5" spans="1:10" ht="15" thickBot="1" x14ac:dyDescent="0.4">
      <c r="A5" t="str">
        <f>VLOOKUP("Financiación Bono Social",tabIdiomas26[],MATCH($J$2,tabIdiomas26[#Headers]),FALSE)</f>
        <v>Social Bonus Financing</v>
      </c>
      <c r="B5" s="150">
        <f>'Simulac. Factura Indiv. Sen CE'!D5</f>
        <v>1.1696729166666668</v>
      </c>
      <c r="C5" s="150">
        <f>'Simulac. Factura Indiv. Con CE'!D5</f>
        <v>1.1696729166666668</v>
      </c>
      <c r="D5" s="1243">
        <f>C5-B5</f>
        <v>0</v>
      </c>
      <c r="E5" s="1718">
        <f>D5/B5</f>
        <v>0</v>
      </c>
    </row>
    <row r="6" spans="1:10" ht="15" thickBot="1" x14ac:dyDescent="0.4">
      <c r="A6" s="1162" t="str">
        <f>VLOOKUP("Subtotal (Suma dos Conceptos Previos)",tabIdiomas26[],MATCH($J$2,tabIdiomas26[#Headers]),FALSE)</f>
        <v>Subtotal (Sum of Previous Concepts)</v>
      </c>
      <c r="B6" s="1238">
        <f>SUM(B2:B5)</f>
        <v>43.659422916666671</v>
      </c>
      <c r="C6" s="1241">
        <f>SUM(C2:C5)</f>
        <v>28.938922916666669</v>
      </c>
      <c r="D6" s="1238">
        <f>C6-B6</f>
        <v>-14.720500000000001</v>
      </c>
      <c r="E6" s="1716">
        <f>D6/B6</f>
        <v>-0.33716661871819098</v>
      </c>
    </row>
    <row r="7" spans="1:10" x14ac:dyDescent="0.35">
      <c r="E7" s="1714"/>
    </row>
    <row r="8" spans="1:10" x14ac:dyDescent="0.35">
      <c r="A8" t="str">
        <f>VLOOKUP("Imposto sobre a Electricidade (Tipo Reducido Temporalmente)",tabIdiomas26[],MATCH($J$2,tabIdiomas26[#Headers]),FALSE)</f>
        <v>Electricity Special Tax (Temporary Reduced Tax Rate) (%)</v>
      </c>
      <c r="B8" s="150">
        <f>'Simulac. Factura Indiv. Sen CE'!D8</f>
        <v>0.21829711458333337</v>
      </c>
      <c r="C8" s="150">
        <f>'Simulac. Factura Indiv. Con CE'!D11</f>
        <v>0.14469461458333335</v>
      </c>
      <c r="D8" s="150">
        <f>C8-B8</f>
        <v>-7.3602500000000015E-2</v>
      </c>
      <c r="E8" s="1717">
        <f>D8/B8</f>
        <v>-0.33716661871819098</v>
      </c>
    </row>
    <row r="9" spans="1:10" x14ac:dyDescent="0.35">
      <c r="D9" s="150"/>
      <c r="E9" s="1717"/>
    </row>
    <row r="10" spans="1:10" x14ac:dyDescent="0.35">
      <c r="A10" t="str">
        <f>VLOOKUP("Aluguer do contador",tabIdiomas26[],MATCH($J$2,tabIdiomas26[#Headers]),FALSE)</f>
        <v>Electricity Meter Rental</v>
      </c>
      <c r="B10" s="150">
        <f>'Simulac. Factura Indiv. Sen CE'!D10</f>
        <v>0.81474083333333336</v>
      </c>
      <c r="C10" s="150">
        <f>'Simulac. Factura Indiv. Con CE'!D13</f>
        <v>0.81474083333333336</v>
      </c>
      <c r="D10" s="150">
        <f>C10-B10</f>
        <v>0</v>
      </c>
      <c r="E10" s="1717">
        <f>D10/B10</f>
        <v>0</v>
      </c>
    </row>
    <row r="11" spans="1:10" ht="15" thickBot="1" x14ac:dyDescent="0.4">
      <c r="E11" s="1714"/>
    </row>
    <row r="12" spans="1:10" ht="15" thickBot="1" x14ac:dyDescent="0.4">
      <c r="A12" s="1162" t="str">
        <f>VLOOKUP("Base Impoñible do IVE (Suma dos Conceptos Previos)",tabIdiomas26[],MATCH($J$2,tabIdiomas26[#Headers]),FALSE)</f>
        <v>VAT Tax Base (Sum of Previous Concepts)</v>
      </c>
      <c r="B12" s="1238">
        <f>B6+B8+B10</f>
        <v>44.692460864583339</v>
      </c>
      <c r="C12" s="932">
        <f>C6+C8+C10</f>
        <v>29.898358364583334</v>
      </c>
      <c r="D12" s="1240">
        <f>C12-B12</f>
        <v>-14.794102500000005</v>
      </c>
      <c r="E12" s="1716">
        <f>D12/B12</f>
        <v>-0.33102009184111925</v>
      </c>
    </row>
    <row r="13" spans="1:10" x14ac:dyDescent="0.35">
      <c r="E13" s="1714"/>
    </row>
    <row r="14" spans="1:10" x14ac:dyDescent="0.35">
      <c r="A14" t="str">
        <f>VLOOKUP("IVE (Tipo Reducido Temporalmente)",tabIdiomas26[],MATCH($J$2,tabIdiomas26[#Headers]),FALSE)</f>
        <v>VAT (Temporary Reduced Tax Rate)</v>
      </c>
      <c r="B14" s="150">
        <f>'Simulac. Factura Indiv. Sen CE'!D14</f>
        <v>9.3854167815625011</v>
      </c>
      <c r="C14" s="150">
        <f>'Simulac. Factura Indiv. Con CE'!D18</f>
        <v>6.2786552565624998</v>
      </c>
      <c r="D14" s="150">
        <f>C14-B14</f>
        <v>-3.1067615250000014</v>
      </c>
      <c r="E14" s="1715">
        <f>D14/B14</f>
        <v>-0.3310200918411193</v>
      </c>
    </row>
    <row r="15" spans="1:10" ht="15" thickBot="1" x14ac:dyDescent="0.4">
      <c r="E15" s="1714"/>
    </row>
    <row r="16" spans="1:10" ht="15" thickBot="1" x14ac:dyDescent="0.4">
      <c r="A16" s="645" t="str">
        <f>VLOOKUP("IMPORTE TOTAL DA FATURA (Base Impoñible + Cota de IVE)",tabIdiomas26[],MATCH($J$2,tabIdiomas26[#Headers]),FALSE)</f>
        <v>Total Invoice Amount (VAT Tax Base + VAT Ammount Payable)</v>
      </c>
      <c r="B16" s="1238">
        <f>'Simulac. Factura Indiv. Sen CE'!D16</f>
        <v>54.077877646145836</v>
      </c>
      <c r="C16" s="932">
        <f>'Simulac. Factura Indiv. Con CE'!D20</f>
        <v>36.177013621145832</v>
      </c>
      <c r="D16" s="1012">
        <f>C16-B16</f>
        <v>-17.900864025000004</v>
      </c>
      <c r="E16" s="1713">
        <f>D16/B16</f>
        <v>-0.33102009184111925</v>
      </c>
    </row>
    <row r="18" spans="1:8" ht="15" thickBot="1" x14ac:dyDescent="0.4"/>
    <row r="19" spans="1:8" ht="29.5" thickBot="1" x14ac:dyDescent="0.4">
      <c r="A19" s="1236" t="str">
        <f>VLOOKUP("Compensacións",tabIdiomas26[],MATCH($J$2,tabIdiomas26[#Headers]),FALSE)</f>
        <v>Energy Compensations</v>
      </c>
      <c r="B19" s="1197" t="str">
        <f>VLOOKUP("Sen CE (€)",tabIdiomas26[],MATCH($J$2,tabIdiomas26[#Headers]),FALSE)</f>
        <v>Without a Community Energy Initiative (€)</v>
      </c>
      <c r="C19" s="1342" t="str">
        <f>VLOOKUP("Con CE (€)",tabIdiomas26[],MATCH($J$2,tabIdiomas26[#Headers]),FALSE)</f>
        <v>With a Community Energy Initiative (€)</v>
      </c>
      <c r="D19" s="1704" t="str">
        <f>VLOOKUP("Diferencia",tabIdiomas26[],MATCH($J$2,tabIdiomas26[#Headers]),FALSE)</f>
        <v>Difference</v>
      </c>
      <c r="E19" s="1703" t="str">
        <f>VLOOKUP("Dif. % s/Fra. Inicial",tabIdiomas26[],MATCH($J$2,tabIdiomas26[#Headers]),FALSE)</f>
        <v>Difference as a Proporcion On Initial Invoice Total Amount (%)</v>
      </c>
      <c r="F19" s="1702" t="s">
        <v>1142</v>
      </c>
    </row>
    <row r="20" spans="1:8" ht="29" x14ac:dyDescent="0.35">
      <c r="A20" s="1229" t="str">
        <f>VLOOKUP("Valor da Enerxía Suxeita a Compensación Transmitida á Comercializadora",tabIdiomas26[],MATCH($J$2,tabIdiomas26[#Headers]),FALSE)</f>
        <v>Value of the Energy Subject to Compensation Transmitted to the Energy Marketer</v>
      </c>
      <c r="B20" s="1234">
        <v>0</v>
      </c>
      <c r="C20" s="1233">
        <f>'Simulac. Factura Indiv. Con CE'!D24</f>
        <v>7.3602500000000006</v>
      </c>
      <c r="D20" s="1701">
        <f>C20-B20</f>
        <v>7.3602500000000006</v>
      </c>
      <c r="E20" s="1700">
        <f>D20/B16</f>
        <v>0.13610463872419687</v>
      </c>
      <c r="F20" s="1712">
        <f>D20/$C$16</f>
        <v>0.20345101110551203</v>
      </c>
    </row>
    <row r="21" spans="1:8" ht="15" thickBot="1" x14ac:dyDescent="0.4">
      <c r="A21" s="1711" t="str">
        <f>VLOOKUP("Valor da Enerxía Vendida Transmitida á Comercializadora",tabIdiomas26[],MATCH($J$2,tabIdiomas26[#Headers]),FALSE)</f>
        <v>Value of the Energy Sold Transmitted to the Energy Marketer</v>
      </c>
      <c r="B21" s="1710">
        <v>0</v>
      </c>
      <c r="C21" s="1227">
        <f>'Simulac. Factura Indiv. Con CE'!D25</f>
        <v>0</v>
      </c>
      <c r="D21" s="1358">
        <f>C21-B21</f>
        <v>0</v>
      </c>
      <c r="E21" s="1709">
        <f>D21/B16</f>
        <v>0</v>
      </c>
      <c r="F21" s="1695">
        <f>D21/$C$16</f>
        <v>0</v>
      </c>
    </row>
    <row r="22" spans="1:8" ht="29.5" thickBot="1" x14ac:dyDescent="0.4">
      <c r="A22" s="869" t="str">
        <f>VLOOKUP("Importe a Aboar ao Prosumidor por Compensación ou Venda",tabIdiomas26[],MATCH($J$2,tabIdiomas26[#Headers]),FALSE)</f>
        <v>Amount to Pay to the Prosumer for the Energy Compensation or the Energy Sale</v>
      </c>
      <c r="B22" s="1708">
        <f>SUM(B20:B21)</f>
        <v>0</v>
      </c>
      <c r="C22" s="601">
        <f>SUM(C20:C21)</f>
        <v>7.3602500000000006</v>
      </c>
      <c r="D22" s="1707">
        <f>C22-B22</f>
        <v>7.3602500000000006</v>
      </c>
      <c r="E22" s="1706">
        <f>D22/B16</f>
        <v>0.13610463872419687</v>
      </c>
      <c r="F22" s="1691">
        <f>D22/$C$16</f>
        <v>0.20345101110551203</v>
      </c>
    </row>
    <row r="23" spans="1:8" ht="15" thickBot="1" x14ac:dyDescent="0.4"/>
    <row r="24" spans="1:8" ht="29.5" thickBot="1" x14ac:dyDescent="0.4">
      <c r="B24" s="1197" t="str">
        <f>VLOOKUP("Sen CE (€)",tabIdiomas26[],MATCH($J$2,tabIdiomas26[#Headers]),FALSE)</f>
        <v>Without a Community Energy Initiative (€)</v>
      </c>
      <c r="C24" s="1705" t="str">
        <f>VLOOKUP("Con CE (€)",tabIdiomas26[],MATCH($J$2,tabIdiomas26[#Headers]),FALSE)</f>
        <v>With a Community Energy Initiative (€)</v>
      </c>
      <c r="D24" s="1704" t="str">
        <f>VLOOKUP("Diferencia",tabIdiomas26[],MATCH($J$2,tabIdiomas26[#Headers]),FALSE)</f>
        <v>Difference</v>
      </c>
      <c r="E24" s="1703" t="str">
        <f>VLOOKUP("Dif. % s/Fra. Inicial",tabIdiomas26[],MATCH($J$2,tabIdiomas26[#Headers]),FALSE)</f>
        <v>Difference as a Proporcion On Initial Invoice Total Amount (%)</v>
      </c>
      <c r="F24" s="1702" t="s">
        <v>1142</v>
      </c>
    </row>
    <row r="25" spans="1:8" ht="29.5" thickBot="1" x14ac:dyDescent="0.4">
      <c r="A25" s="1406" t="str">
        <f>VLOOKUP("Novo Importe A Pagar (Importe Factura - Importe a Aboar)",tabIdiomas26[],MATCH($J$2,tabIdiomas26[#Headers]),FALSE)</f>
        <v>New Amount to Pay (Invoice Amount - Energy Compensation or Sale Amount)</v>
      </c>
      <c r="B25" s="1232">
        <f>$B$16</f>
        <v>54.077877646145836</v>
      </c>
      <c r="C25" s="1428">
        <f>'Simulac. Factura Indiv. Con CE'!D29</f>
        <v>28.816763621145832</v>
      </c>
      <c r="D25" s="1701">
        <f>C25-B25</f>
        <v>-25.261114025000005</v>
      </c>
      <c r="E25" s="1700">
        <f>D25/$B$16</f>
        <v>-0.46712473056531612</v>
      </c>
      <c r="F25" s="1699">
        <f>D25/$C$16</f>
        <v>-0.69826421521522786</v>
      </c>
    </row>
    <row r="26" spans="1:8" ht="15" thickBot="1" x14ac:dyDescent="0.4">
      <c r="A26" s="1698" t="str">
        <f>VLOOKUP("Exceso do Importe a Aboar sobre o Importe da Factura",tabIdiomas26[],MATCH($J$2,tabIdiomas26[#Headers]),FALSE)</f>
        <v>Excess of the Amount to Pay over the Invoice Amount</v>
      </c>
      <c r="B26" s="1209">
        <v>0</v>
      </c>
      <c r="C26" s="631">
        <f>MAX(0,(C22-C16))</f>
        <v>0</v>
      </c>
      <c r="D26" s="1697">
        <f>C26-B26</f>
        <v>0</v>
      </c>
      <c r="E26" s="1696">
        <f>D26/$B$16</f>
        <v>0</v>
      </c>
      <c r="F26" s="1695">
        <f>D26/C16</f>
        <v>0</v>
      </c>
    </row>
    <row r="27" spans="1:8" ht="16.5" thickBot="1" x14ac:dyDescent="0.55000000000000004">
      <c r="A27" s="1690" t="str">
        <f>VLOOKUP("Efecto Económico Positivo Total para o Socio",tabIdiomas26[],MATCH($J$2,tabIdiomas26[#Headers]),FALSE)</f>
        <v>Total Positive Economic Effect for the Partner</v>
      </c>
      <c r="B27" s="1205"/>
      <c r="C27" s="1694"/>
      <c r="D27" s="1693">
        <f>-D25+D26</f>
        <v>25.261114025000005</v>
      </c>
      <c r="E27" s="1692">
        <f>D27/$B$16</f>
        <v>0.46712473056531612</v>
      </c>
      <c r="F27" s="1691">
        <f>D27/$C$16</f>
        <v>0.69826421521522786</v>
      </c>
      <c r="H27" s="38"/>
    </row>
    <row r="31" spans="1:8" x14ac:dyDescent="0.35">
      <c r="A31" s="152" t="str">
        <f>VLOOKUP("Determinación do Efecto Económico Neto para o Socio da súa Pertenza á Iniciativa Enerxética Comunitaria",tabIdiomas26[],MATCH($J$2,tabIdiomas26[#Headers]),FALSE)</f>
        <v>Determination of the Net Economic Effect for the Partner of Membership in the Community Energy Initiative</v>
      </c>
    </row>
    <row r="32" spans="1:8" ht="15" thickBot="1" x14ac:dyDescent="0.4"/>
    <row r="33" spans="1:3" ht="15" thickBot="1" x14ac:dyDescent="0.4">
      <c r="A33" s="1200" t="str">
        <f>VLOOKUP("(Considérase un mes tipo, para un consumidor tipo)",tabIdiomas26[],MATCH($J$2,tabIdiomas26[#Headers]),FALSE)</f>
        <v>(A typical month and a typical consumer are considered)</v>
      </c>
    </row>
    <row r="34" spans="1:3" ht="15" thickBot="1" x14ac:dyDescent="0.4">
      <c r="A34" s="1199" t="str">
        <f>VLOOKUP("Consumo Mensual do Consumidor Tipo (KWh/Mes)",tabIdiomas26[],MATCH($J$2,tabIdiomas26[#Headers]),FALSE)</f>
        <v>Monthly Consumption of the Typical Consumer (KWh/Month)</v>
      </c>
      <c r="B34" s="1198">
        <f>'Hipóteses xerais (2)'!$I$52/12</f>
        <v>294.41000000000003</v>
      </c>
    </row>
    <row r="35" spans="1:3" ht="15" thickBot="1" x14ac:dyDescent="0.4"/>
    <row r="36" spans="1:3" ht="15" thickBot="1" x14ac:dyDescent="0.4">
      <c r="B36" s="1197" t="str">
        <f>VLOOKUP("Mensual",tabIdiomas26[],MATCH($J$2,tabIdiomas26[#Headers]),FALSE)</f>
        <v>Monthly</v>
      </c>
      <c r="C36" s="791" t="str">
        <f>VLOOKUP("Anual",tabIdiomas26[],MATCH($J$2,tabIdiomas26[#Headers]),FALSE)</f>
        <v>Annual</v>
      </c>
    </row>
    <row r="37" spans="1:3" ht="43.5" x14ac:dyDescent="0.35">
      <c r="A37" s="1151" t="str">
        <f>VLOOKUP("(+) Efecto Económico Positivo Total para o Socio (Menor Importe a Pagar en Factura + Importe Obtido pola Enerxía Destinada á Compensación ou Venda)",tabIdiomas26[],MATCH($J$2,tabIdiomas26[#Headers]),FALSE)</f>
        <v>(+) Total Positive Economic Effect for the Partner (Lower Invoice Amount to Pay + Positive Amount Obtained for the Energy Subject to Compensation or Sold)</v>
      </c>
      <c r="B37" s="1196">
        <f>$D$27</f>
        <v>25.261114025000005</v>
      </c>
      <c r="C37" s="1195">
        <f>B37*12</f>
        <v>303.13336830000003</v>
      </c>
    </row>
    <row r="38" spans="1:3" ht="29" x14ac:dyDescent="0.35">
      <c r="A38" s="1194" t="str">
        <f>VLOOKUP("(-) Efecto Económico Negativo Total para o Socio (Cotas Pagadas á Entidade)",tabIdiomas26[],MATCH($J$2,tabIdiomas26[#Headers]),FALSE)</f>
        <v>(-) Total Negative Economic Effect for the Partner (Fees Paid to the Entity)</v>
      </c>
      <c r="B38" s="1074">
        <f>'Hipóteses xerais (2)'!$F$41</f>
        <v>8.2348999999999997</v>
      </c>
      <c r="C38" s="874">
        <f>B38*12</f>
        <v>98.818799999999996</v>
      </c>
    </row>
    <row r="39" spans="1:3" ht="15" thickBot="1" x14ac:dyDescent="0.4">
      <c r="A39" s="1193" t="str">
        <f>VLOOKUP("(=) Efecto Económico Neto Total para o Socio (Positivo - Negativo)",tabIdiomas26[],MATCH($J$2,tabIdiomas26[#Headers]),FALSE)</f>
        <v>(=) Total Net Economic Effect for the Partner (Positive - Negative)</v>
      </c>
      <c r="B39" s="1192">
        <f>B37-B38</f>
        <v>17.026214025000005</v>
      </c>
      <c r="C39" s="924">
        <f>C37-C38</f>
        <v>204.31456830000002</v>
      </c>
    </row>
    <row r="40" spans="1:3" ht="15" thickBot="1" x14ac:dyDescent="0.4"/>
    <row r="41" spans="1:3" ht="29.5" thickBot="1" x14ac:dyDescent="0.4">
      <c r="A41" s="1690" t="str">
        <f>VLOOKUP("Efecto Económico Neto Total (% s/ Importe da súa Factura Orixinal)",tabIdiomas26[],MATCH($J$2,tabIdiomas26[#Headers]),FALSE)</f>
        <v>Total Net Economic Effect (% On the Partner Original Invoice Amount)</v>
      </c>
      <c r="B41" s="1689">
        <f>B39/'Simulac. Factura Indiv. Sen CE'!$D$16</f>
        <v>0.31484619526693786</v>
      </c>
    </row>
  </sheetData>
  <sheetProtection algorithmName="SHA-512" hashValue="9BBOyKBvS3++g7LbVklcBY+uLuHq181+TcEm0IDhesTBxcG1YKRt4p1NHonI9goOzxvMxsoJo9XNJ1oAEYZDag==" saltValue="Wbpkfb+6lmwvAUbJtomrpA==" spinCount="100000" sheet="1" objects="1" scenarios="1"/>
  <dataValidations count="1">
    <dataValidation type="list" allowBlank="1" showDropDown="1" showInputMessage="1" showErrorMessage="1" sqref="J2" xr:uid="{129F430C-EB77-4B97-AE6E-3EE0C1EE8010}">
      <formula1>ListadoIdiomasR</formula1>
    </dataValidation>
  </dataValidation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CDEF7-0937-46B0-92B7-33E7468CA4BC}">
  <dimension ref="A1:AA19"/>
  <sheetViews>
    <sheetView workbookViewId="0">
      <selection sqref="A1:E14"/>
    </sheetView>
  </sheetViews>
  <sheetFormatPr baseColWidth="10" defaultColWidth="11.54296875" defaultRowHeight="14.5" x14ac:dyDescent="0.35"/>
  <cols>
    <col min="1" max="1" width="43.6328125" customWidth="1"/>
    <col min="27" max="27" width="19.54296875" customWidth="1"/>
  </cols>
  <sheetData>
    <row r="1" spans="1:27" ht="30" thickTop="1" thickBot="1" x14ac:dyDescent="0.4">
      <c r="A1" s="1747" t="str">
        <f>VLOOKUP("ID. de Socio",tabIdiomas26[],MATCH('Indiv. Invoices Comparison'!$J$2,tabIdiomas26[#Headers]),FALSE)</f>
        <v>Partner ID Number</v>
      </c>
      <c r="B1" s="1746">
        <v>1</v>
      </c>
      <c r="C1" s="1746">
        <v>2</v>
      </c>
      <c r="D1" s="1746">
        <v>3</v>
      </c>
      <c r="E1" s="1746">
        <v>4</v>
      </c>
      <c r="F1" s="1746">
        <v>5</v>
      </c>
      <c r="G1" s="1746">
        <v>6</v>
      </c>
      <c r="H1" s="1746">
        <v>7</v>
      </c>
      <c r="I1" s="1746">
        <v>8</v>
      </c>
      <c r="J1" s="1746">
        <v>9</v>
      </c>
      <c r="K1" s="1746">
        <v>10</v>
      </c>
      <c r="L1" s="1746">
        <v>11</v>
      </c>
      <c r="M1" s="1746">
        <v>12</v>
      </c>
      <c r="N1" s="1746">
        <v>13</v>
      </c>
      <c r="O1" s="1746">
        <v>14</v>
      </c>
      <c r="P1" s="1746">
        <v>15</v>
      </c>
      <c r="Q1" s="1746">
        <v>16</v>
      </c>
      <c r="R1" s="1746">
        <v>17</v>
      </c>
      <c r="S1" s="1746">
        <v>18</v>
      </c>
      <c r="T1" s="1746">
        <v>19</v>
      </c>
      <c r="U1" s="1746">
        <v>20</v>
      </c>
      <c r="V1" s="1746">
        <v>21</v>
      </c>
      <c r="W1" s="1746">
        <v>22</v>
      </c>
      <c r="X1" s="1746">
        <v>23</v>
      </c>
      <c r="Y1" s="1746">
        <v>24</v>
      </c>
      <c r="Z1" s="1745">
        <v>25</v>
      </c>
      <c r="AA1" s="1566" t="str">
        <f>VLOOKUP("Conxunto Completo dos Socios",tabIdiomas26[],MATCH('Indiv. Invoices Comparison'!$J$2,tabIdiomas26[#Headers]),FALSE)</f>
        <v>Complete Set of Partners</v>
      </c>
    </row>
    <row r="2" spans="1:27" ht="15" thickBot="1" x14ac:dyDescent="0.4">
      <c r="A2" s="1744" t="str">
        <f>VLOOKUP("Concepto",tabIdiomas26[],MATCH('Indiv. Invoices Comparison'!$J$2,tabIdiomas26[#Headers]),FALSE)</f>
        <v>Concept</v>
      </c>
      <c r="B2" s="623"/>
      <c r="C2" s="623"/>
      <c r="D2" s="623"/>
      <c r="E2" s="623"/>
      <c r="F2" s="623"/>
      <c r="G2" s="623"/>
      <c r="H2" s="623"/>
      <c r="I2" s="623"/>
      <c r="J2" s="623"/>
      <c r="K2" s="623"/>
      <c r="L2" s="623"/>
      <c r="M2" s="623"/>
      <c r="N2" s="623"/>
      <c r="O2" s="623"/>
      <c r="P2" s="623"/>
      <c r="Q2" s="623"/>
      <c r="R2" s="623"/>
      <c r="S2" s="623"/>
      <c r="T2" s="623"/>
      <c r="U2" s="623"/>
      <c r="V2" s="623"/>
      <c r="W2" s="623"/>
      <c r="X2" s="623"/>
      <c r="Y2" s="623"/>
      <c r="Z2" s="1743"/>
      <c r="AA2" s="1742"/>
    </row>
    <row r="3" spans="1:27" ht="16.5" thickBot="1" x14ac:dyDescent="0.4">
      <c r="A3" s="1741" t="str">
        <f>VLOOKUP("Impacto Económico Positivo Total (Mensual)",tabIdiomas26[],MATCH('Indiv. Invoices Comparison'!$J$2,tabIdiomas26[#Headers]),FALSE)</f>
        <v>Total Positive Economic Impact (Monthly)</v>
      </c>
      <c r="B3" s="1643">
        <f ca="1">'Ingresos Socios (2)'!B9</f>
        <v>7.6154984860883772</v>
      </c>
      <c r="C3" s="1642">
        <f ca="1">'Ingresos Socios (2)'!C9</f>
        <v>30.088685195035467</v>
      </c>
      <c r="D3" s="1642">
        <f ca="1">'Ingresos Socios (2)'!D9</f>
        <v>37.03222793235134</v>
      </c>
      <c r="E3" s="1642">
        <f ca="1">'Ingresos Socios (2)'!E9</f>
        <v>32.477861190671007</v>
      </c>
      <c r="F3" s="1642">
        <f ca="1">'Ingresos Socios (2)'!F9</f>
        <v>21.278598711129291</v>
      </c>
      <c r="G3" s="1642">
        <f ca="1">'Ingresos Socios (2)'!G9</f>
        <v>18.51611396617567</v>
      </c>
      <c r="H3" s="1642">
        <f ca="1">'Ingresos Socios (2)'!H9</f>
        <v>16.57490846972177</v>
      </c>
      <c r="I3" s="1642">
        <f ca="1">'Ingresos Socios (2)'!I9</f>
        <v>38.450801179759949</v>
      </c>
      <c r="J3" s="1642">
        <f ca="1">'Ingresos Socios (2)'!J9</f>
        <v>20.307995962902353</v>
      </c>
      <c r="K3" s="1642">
        <f ca="1">'Ingresos Socios (2)'!K9</f>
        <v>34.045757937806883</v>
      </c>
      <c r="L3" s="1642">
        <f ca="1">'Ingresos Socios (2)'!L9</f>
        <v>23.070480707855978</v>
      </c>
      <c r="M3" s="1642">
        <f ca="1">'Ingresos Socios (2)'!M9</f>
        <v>35.538992935079115</v>
      </c>
      <c r="N3" s="1642">
        <f ca="1">'Ingresos Socios (2)'!N9</f>
        <v>33.821772688216043</v>
      </c>
      <c r="O3" s="1642">
        <f ca="1">'Ingresos Socios (2)'!O9</f>
        <v>20.606642962356801</v>
      </c>
      <c r="P3" s="1642">
        <f ca="1">'Ingresos Socios (2)'!P9</f>
        <v>23.294465957446807</v>
      </c>
      <c r="Q3" s="1642">
        <f ca="1">'Ingresos Socios (2)'!Q9</f>
        <v>27.027553450627384</v>
      </c>
      <c r="R3" s="1642">
        <f ca="1">'Ingresos Socios (2)'!R9</f>
        <v>38.600124679487173</v>
      </c>
      <c r="S3" s="1642">
        <f ca="1">'Ingresos Socios (2)'!S9</f>
        <v>22.77183370840153</v>
      </c>
      <c r="T3" s="1642">
        <f ca="1">'Ingresos Socios (2)'!T9</f>
        <v>31.357934942716838</v>
      </c>
      <c r="U3" s="1642">
        <f ca="1">'Ingresos Socios (2)'!U9</f>
        <v>30.163346944899086</v>
      </c>
      <c r="V3" s="1642">
        <f ca="1">'Ingresos Socios (2)'!V9</f>
        <v>9.9300127318603355</v>
      </c>
      <c r="W3" s="1642">
        <f ca="1">'Ingresos Socios (2)'!W9</f>
        <v>28.894097197217661</v>
      </c>
      <c r="X3" s="1642">
        <f ca="1">'Ingresos Socios (2)'!X9</f>
        <v>15.007011722585933</v>
      </c>
      <c r="Y3" s="1642">
        <f ca="1">'Ingresos Socios (2)'!Y9</f>
        <v>8.810086483906165</v>
      </c>
      <c r="Z3" s="1641">
        <f ca="1">'Ingresos Socios (2)'!Z9</f>
        <v>33.373802189034365</v>
      </c>
      <c r="AA3" s="1640">
        <f ca="1">SUM(B3:Z3)</f>
        <v>638.65660833333322</v>
      </c>
    </row>
    <row r="4" spans="1:27" ht="44.5" thickTop="1" thickBot="1" x14ac:dyDescent="0.4">
      <c r="A4" s="1740" t="str">
        <f>VLOOKUP("(Aforro na Fatura e Ingresos por Compensación ou Venda da Enerxía Excedentaria)",tabIdiomas26[],MATCH('Indiv. Invoices Comparison'!$J$2,tabIdiomas26[#Headers]),FALSE)</f>
        <v>(Savings Achieved on the Electricity Invoice and Revenues from Excedentary Energy Compensation or Sale)</v>
      </c>
      <c r="B4" s="623"/>
      <c r="C4" s="623"/>
      <c r="D4" s="623"/>
      <c r="E4" s="623"/>
      <c r="F4" s="623"/>
      <c r="G4" s="623"/>
      <c r="H4" s="623"/>
      <c r="I4" s="623"/>
      <c r="J4" s="623"/>
      <c r="K4" s="623"/>
      <c r="L4" s="623"/>
      <c r="M4" s="623"/>
      <c r="N4" s="623"/>
      <c r="O4" s="623"/>
      <c r="P4" s="623"/>
      <c r="Q4" s="623"/>
      <c r="R4" s="623"/>
      <c r="S4" s="623"/>
      <c r="T4" s="623"/>
      <c r="U4" s="623"/>
      <c r="V4" s="623"/>
      <c r="W4" s="623"/>
      <c r="X4" s="623"/>
      <c r="Y4" s="623"/>
      <c r="Z4" s="623"/>
      <c r="AA4" s="623"/>
    </row>
    <row r="5" spans="1:27" ht="15.5" thickTop="1" thickBot="1" x14ac:dyDescent="0.4">
      <c r="A5" s="623"/>
      <c r="B5" s="623"/>
      <c r="C5" s="623"/>
      <c r="D5" s="623"/>
      <c r="E5" s="623"/>
      <c r="F5" s="623"/>
      <c r="G5" s="623"/>
      <c r="H5" s="623"/>
      <c r="I5" s="623"/>
      <c r="J5" s="623"/>
      <c r="K5" s="623"/>
      <c r="L5" s="623"/>
      <c r="M5" s="623"/>
      <c r="N5" s="623"/>
      <c r="O5" s="623"/>
      <c r="P5" s="623"/>
      <c r="Q5" s="623"/>
      <c r="R5" s="623"/>
      <c r="S5" s="623"/>
      <c r="T5" s="623"/>
      <c r="U5" s="623"/>
      <c r="V5" s="623"/>
      <c r="W5" s="623"/>
      <c r="X5" s="623"/>
      <c r="Y5" s="623"/>
      <c r="Z5" s="623"/>
      <c r="AA5" s="623"/>
    </row>
    <row r="6" spans="1:27" ht="29.5" thickTop="1" x14ac:dyDescent="0.35">
      <c r="A6" s="1677" t="str">
        <f>VLOOKUP("Cota Mensual Extraordinaria Primeiro Ano -€/Mes-",tabIdiomas26[],MATCH('Indiv. Invoices Comparison'!$J$2,tabIdiomas26[#Headers]),FALSE)</f>
        <v>Extraordinary Monthly Membership Fee for the First Year -€ per Month-</v>
      </c>
      <c r="B6" s="1739">
        <f>'Hipóteses xerais (2)'!$F$40</f>
        <v>0</v>
      </c>
      <c r="C6" s="1738">
        <f>'Hipóteses xerais (2)'!$F$40</f>
        <v>0</v>
      </c>
      <c r="D6" s="1738">
        <f>'Hipóteses xerais (2)'!$F$40</f>
        <v>0</v>
      </c>
      <c r="E6" s="1738">
        <f>'Hipóteses xerais (2)'!$F$40</f>
        <v>0</v>
      </c>
      <c r="F6" s="1738">
        <f>'Hipóteses xerais (2)'!$F$40</f>
        <v>0</v>
      </c>
      <c r="G6" s="1738">
        <f>'Hipóteses xerais (2)'!$F$40</f>
        <v>0</v>
      </c>
      <c r="H6" s="1738">
        <f>'Hipóteses xerais (2)'!$F$40</f>
        <v>0</v>
      </c>
      <c r="I6" s="1738">
        <f>'Hipóteses xerais (2)'!$F$40</f>
        <v>0</v>
      </c>
      <c r="J6" s="1738">
        <f>'Hipóteses xerais (2)'!$F$40</f>
        <v>0</v>
      </c>
      <c r="K6" s="1738">
        <f>'Hipóteses xerais (2)'!$F$40</f>
        <v>0</v>
      </c>
      <c r="L6" s="1738">
        <f>'Hipóteses xerais (2)'!$F$40</f>
        <v>0</v>
      </c>
      <c r="M6" s="1738">
        <f>'Hipóteses xerais (2)'!$F$40</f>
        <v>0</v>
      </c>
      <c r="N6" s="1738">
        <f>'Hipóteses xerais (2)'!$F$40</f>
        <v>0</v>
      </c>
      <c r="O6" s="1738">
        <f>'Hipóteses xerais (2)'!$F$40</f>
        <v>0</v>
      </c>
      <c r="P6" s="1738">
        <f>'Hipóteses xerais (2)'!$F$40</f>
        <v>0</v>
      </c>
      <c r="Q6" s="1738">
        <f>'Hipóteses xerais (2)'!$F$40</f>
        <v>0</v>
      </c>
      <c r="R6" s="1738">
        <f>'Hipóteses xerais (2)'!$F$40</f>
        <v>0</v>
      </c>
      <c r="S6" s="1738">
        <f>'Hipóteses xerais (2)'!$F$40</f>
        <v>0</v>
      </c>
      <c r="T6" s="1738">
        <f>'Hipóteses xerais (2)'!$F$40</f>
        <v>0</v>
      </c>
      <c r="U6" s="1738">
        <f>'Hipóteses xerais (2)'!$F$40</f>
        <v>0</v>
      </c>
      <c r="V6" s="1738">
        <f>'Hipóteses xerais (2)'!$F$40</f>
        <v>0</v>
      </c>
      <c r="W6" s="1738">
        <f>'Hipóteses xerais (2)'!$F$40</f>
        <v>0</v>
      </c>
      <c r="X6" s="1738">
        <f>'Hipóteses xerais (2)'!$F$40</f>
        <v>0</v>
      </c>
      <c r="Y6" s="1738">
        <f>'Hipóteses xerais (2)'!$F$40</f>
        <v>0</v>
      </c>
      <c r="Z6" s="1737">
        <f>'Hipóteses xerais (2)'!$F$40</f>
        <v>0</v>
      </c>
      <c r="AA6" s="1736">
        <f>SUM(B6:Z6)</f>
        <v>0</v>
      </c>
    </row>
    <row r="7" spans="1:27" ht="29.5" thickBot="1" x14ac:dyDescent="0.4">
      <c r="A7" s="1676" t="str">
        <f>VLOOKUP("Cota Mensual Ordinaria (Todos os Anos) -€/Mes-",tabIdiomas26[],MATCH('Indiv. Invoices Comparison'!$J$2,tabIdiomas26[#Headers]),FALSE)</f>
        <v>Ordinary Monthly Membership Fee (All Years) -€ per Month-</v>
      </c>
      <c r="B7" s="1735">
        <f>'Hipóteses xerais (2)'!$F$41</f>
        <v>8.2348999999999997</v>
      </c>
      <c r="C7" s="1734">
        <f>'Hipóteses xerais (2)'!$F$41</f>
        <v>8.2348999999999997</v>
      </c>
      <c r="D7" s="1734">
        <f>'Hipóteses xerais (2)'!$F$41</f>
        <v>8.2348999999999997</v>
      </c>
      <c r="E7" s="1734">
        <f>'Hipóteses xerais (2)'!$F$41</f>
        <v>8.2348999999999997</v>
      </c>
      <c r="F7" s="1734">
        <f>'Hipóteses xerais (2)'!$F$41</f>
        <v>8.2348999999999997</v>
      </c>
      <c r="G7" s="1734">
        <f>'Hipóteses xerais (2)'!$F$41</f>
        <v>8.2348999999999997</v>
      </c>
      <c r="H7" s="1734">
        <f>'Hipóteses xerais (2)'!$F$41</f>
        <v>8.2348999999999997</v>
      </c>
      <c r="I7" s="1734">
        <f>'Hipóteses xerais (2)'!$F$41</f>
        <v>8.2348999999999997</v>
      </c>
      <c r="J7" s="1734">
        <f>'Hipóteses xerais (2)'!$F$41</f>
        <v>8.2348999999999997</v>
      </c>
      <c r="K7" s="1734">
        <f>'Hipóteses xerais (2)'!$F$41</f>
        <v>8.2348999999999997</v>
      </c>
      <c r="L7" s="1734">
        <f>'Hipóteses xerais (2)'!$F$41</f>
        <v>8.2348999999999997</v>
      </c>
      <c r="M7" s="1734">
        <f>'Hipóteses xerais (2)'!$F$41</f>
        <v>8.2348999999999997</v>
      </c>
      <c r="N7" s="1734">
        <f>'Hipóteses xerais (2)'!$F$41</f>
        <v>8.2348999999999997</v>
      </c>
      <c r="O7" s="1734">
        <f>'Hipóteses xerais (2)'!$F$41</f>
        <v>8.2348999999999997</v>
      </c>
      <c r="P7" s="1734">
        <f>'Hipóteses xerais (2)'!$F$41</f>
        <v>8.2348999999999997</v>
      </c>
      <c r="Q7" s="1734">
        <f>'Hipóteses xerais (2)'!$F$41</f>
        <v>8.2348999999999997</v>
      </c>
      <c r="R7" s="1734">
        <f>'Hipóteses xerais (2)'!$F$41</f>
        <v>8.2348999999999997</v>
      </c>
      <c r="S7" s="1734">
        <f>'Hipóteses xerais (2)'!$F$41</f>
        <v>8.2348999999999997</v>
      </c>
      <c r="T7" s="1734">
        <f>'Hipóteses xerais (2)'!$F$41</f>
        <v>8.2348999999999997</v>
      </c>
      <c r="U7" s="1734">
        <f>'Hipóteses xerais (2)'!$F$41</f>
        <v>8.2348999999999997</v>
      </c>
      <c r="V7" s="1734">
        <f>'Hipóteses xerais (2)'!$F$41</f>
        <v>8.2348999999999997</v>
      </c>
      <c r="W7" s="1734">
        <f>'Hipóteses xerais (2)'!$F$41</f>
        <v>8.2348999999999997</v>
      </c>
      <c r="X7" s="1734">
        <f>'Hipóteses xerais (2)'!$F$41</f>
        <v>8.2348999999999997</v>
      </c>
      <c r="Y7" s="1734">
        <f>'Hipóteses xerais (2)'!$F$41</f>
        <v>8.2348999999999997</v>
      </c>
      <c r="Z7" s="1733">
        <f>'Hipóteses xerais (2)'!$F$41</f>
        <v>8.2348999999999997</v>
      </c>
      <c r="AA7" s="1732">
        <f>SUM(B7:Z7)</f>
        <v>205.87250000000006</v>
      </c>
    </row>
    <row r="8" spans="1:27" s="10" customFormat="1" ht="44" thickBot="1" x14ac:dyDescent="0.4">
      <c r="A8" s="1675" t="str">
        <f>VLOOKUP("Outros Desembolsos Mensuais do Socio a Favor da Entidade Xestora da Iniciativa Enerxética Comunitaria -€/Mes-",tabIdiomas26[],MATCH('Indiv. Invoices Comparison'!$J$2,tabIdiomas26[#Headers]),FALSE)</f>
        <v>Other Monthly Amounts Paid by the Partner to the Community Energy Initiative Manager-Entity -€ per Month-</v>
      </c>
      <c r="B8" s="1731">
        <f>'Hipóteses xerais (2)'!$F$42</f>
        <v>0</v>
      </c>
      <c r="C8" s="1730">
        <f>'Hipóteses xerais (2)'!$F$42</f>
        <v>0</v>
      </c>
      <c r="D8" s="1730">
        <f>'Hipóteses xerais (2)'!$F$42</f>
        <v>0</v>
      </c>
      <c r="E8" s="1730">
        <f>'Hipóteses xerais (2)'!$F$42</f>
        <v>0</v>
      </c>
      <c r="F8" s="1730">
        <f>'Hipóteses xerais (2)'!$F$42</f>
        <v>0</v>
      </c>
      <c r="G8" s="1730">
        <f>'Hipóteses xerais (2)'!$F$42</f>
        <v>0</v>
      </c>
      <c r="H8" s="1730">
        <f>'Hipóteses xerais (2)'!$F$42</f>
        <v>0</v>
      </c>
      <c r="I8" s="1730">
        <f>'Hipóteses xerais (2)'!$F$42</f>
        <v>0</v>
      </c>
      <c r="J8" s="1730">
        <f>'Hipóteses xerais (2)'!$F$42</f>
        <v>0</v>
      </c>
      <c r="K8" s="1730">
        <f>'Hipóteses xerais (2)'!$F$42</f>
        <v>0</v>
      </c>
      <c r="L8" s="1730">
        <f>'Hipóteses xerais (2)'!$F$42</f>
        <v>0</v>
      </c>
      <c r="M8" s="1730">
        <f>'Hipóteses xerais (2)'!$F$42</f>
        <v>0</v>
      </c>
      <c r="N8" s="1730">
        <f>'Hipóteses xerais (2)'!$F$42</f>
        <v>0</v>
      </c>
      <c r="O8" s="1730">
        <f>'Hipóteses xerais (2)'!$F$42</f>
        <v>0</v>
      </c>
      <c r="P8" s="1730">
        <f>'Hipóteses xerais (2)'!$F$42</f>
        <v>0</v>
      </c>
      <c r="Q8" s="1730">
        <f>'Hipóteses xerais (2)'!$F$42</f>
        <v>0</v>
      </c>
      <c r="R8" s="1730">
        <f>'Hipóteses xerais (2)'!$F$42</f>
        <v>0</v>
      </c>
      <c r="S8" s="1730">
        <f>'Hipóteses xerais (2)'!$F$42</f>
        <v>0</v>
      </c>
      <c r="T8" s="1730">
        <f>'Hipóteses xerais (2)'!$F$42</f>
        <v>0</v>
      </c>
      <c r="U8" s="1730">
        <f>'Hipóteses xerais (2)'!$F$42</f>
        <v>0</v>
      </c>
      <c r="V8" s="1730">
        <f>'Hipóteses xerais (2)'!$F$42</f>
        <v>0</v>
      </c>
      <c r="W8" s="1730">
        <f>'Hipóteses xerais (2)'!$F$42</f>
        <v>0</v>
      </c>
      <c r="X8" s="1730">
        <f>'Hipóteses xerais (2)'!$F$42</f>
        <v>0</v>
      </c>
      <c r="Y8" s="1730">
        <f>'Hipóteses xerais (2)'!$F$42</f>
        <v>0</v>
      </c>
      <c r="Z8" s="1729">
        <f>'Hipóteses xerais (2)'!$F$42</f>
        <v>0</v>
      </c>
      <c r="AA8" s="1728">
        <f>SUM(B8:Z8)</f>
        <v>0</v>
      </c>
    </row>
    <row r="9" spans="1:27" s="10" customFormat="1" ht="44" thickBot="1" x14ac:dyDescent="0.4">
      <c r="A9" s="1622" t="str">
        <f>VLOOKUP("Total de Custos Soportados polo Socio no Mes, Derivados da súa Pertenza á Iniciativa Enerxética Comunitaria (€)",tabIdiomas26[],MATCH('Indiv. Invoices Comparison'!$J$2,tabIdiomas26[#Headers]),FALSE)</f>
        <v>Total Monthly Costs Assumed by the Partner, Deriving from the Membership in the Community Energy Initiative (€)</v>
      </c>
      <c r="B9" s="1727">
        <f t="shared" ref="B9:Z9" si="0">SUM(B6:B8)</f>
        <v>8.2348999999999997</v>
      </c>
      <c r="C9" s="1726">
        <f t="shared" si="0"/>
        <v>8.2348999999999997</v>
      </c>
      <c r="D9" s="1726">
        <f t="shared" si="0"/>
        <v>8.2348999999999997</v>
      </c>
      <c r="E9" s="1726">
        <f t="shared" si="0"/>
        <v>8.2348999999999997</v>
      </c>
      <c r="F9" s="1726">
        <f t="shared" si="0"/>
        <v>8.2348999999999997</v>
      </c>
      <c r="G9" s="1726">
        <f t="shared" si="0"/>
        <v>8.2348999999999997</v>
      </c>
      <c r="H9" s="1726">
        <f t="shared" si="0"/>
        <v>8.2348999999999997</v>
      </c>
      <c r="I9" s="1726">
        <f t="shared" si="0"/>
        <v>8.2348999999999997</v>
      </c>
      <c r="J9" s="1726">
        <f t="shared" si="0"/>
        <v>8.2348999999999997</v>
      </c>
      <c r="K9" s="1726">
        <f t="shared" si="0"/>
        <v>8.2348999999999997</v>
      </c>
      <c r="L9" s="1726">
        <f t="shared" si="0"/>
        <v>8.2348999999999997</v>
      </c>
      <c r="M9" s="1726">
        <f t="shared" si="0"/>
        <v>8.2348999999999997</v>
      </c>
      <c r="N9" s="1726">
        <f t="shared" si="0"/>
        <v>8.2348999999999997</v>
      </c>
      <c r="O9" s="1726">
        <f t="shared" si="0"/>
        <v>8.2348999999999997</v>
      </c>
      <c r="P9" s="1726">
        <f t="shared" si="0"/>
        <v>8.2348999999999997</v>
      </c>
      <c r="Q9" s="1726">
        <f t="shared" si="0"/>
        <v>8.2348999999999997</v>
      </c>
      <c r="R9" s="1726">
        <f t="shared" si="0"/>
        <v>8.2348999999999997</v>
      </c>
      <c r="S9" s="1726">
        <f t="shared" si="0"/>
        <v>8.2348999999999997</v>
      </c>
      <c r="T9" s="1726">
        <f t="shared" si="0"/>
        <v>8.2348999999999997</v>
      </c>
      <c r="U9" s="1726">
        <f t="shared" si="0"/>
        <v>8.2348999999999997</v>
      </c>
      <c r="V9" s="1726">
        <f t="shared" si="0"/>
        <v>8.2348999999999997</v>
      </c>
      <c r="W9" s="1726">
        <f t="shared" si="0"/>
        <v>8.2348999999999997</v>
      </c>
      <c r="X9" s="1726">
        <f t="shared" si="0"/>
        <v>8.2348999999999997</v>
      </c>
      <c r="Y9" s="1726">
        <f t="shared" si="0"/>
        <v>8.2348999999999997</v>
      </c>
      <c r="Z9" s="1725">
        <f t="shared" si="0"/>
        <v>8.2348999999999997</v>
      </c>
      <c r="AA9" s="1724">
        <f>SUM(B9:Z9)</f>
        <v>205.87250000000006</v>
      </c>
    </row>
    <row r="10" spans="1:27" ht="15" thickTop="1" x14ac:dyDescent="0.35">
      <c r="A10" s="623"/>
      <c r="B10" s="623"/>
      <c r="C10" s="623"/>
      <c r="D10" s="623"/>
      <c r="E10" s="623"/>
      <c r="F10" s="623"/>
      <c r="G10" s="623"/>
      <c r="H10" s="623"/>
      <c r="I10" s="623"/>
      <c r="J10" s="623"/>
      <c r="K10" s="623"/>
      <c r="L10" s="623"/>
      <c r="M10" s="623"/>
      <c r="N10" s="623"/>
      <c r="O10" s="623"/>
      <c r="P10" s="623"/>
      <c r="Q10" s="623"/>
      <c r="R10" s="623"/>
      <c r="S10" s="623"/>
      <c r="T10" s="623"/>
      <c r="U10" s="623"/>
      <c r="V10" s="623"/>
      <c r="W10" s="623"/>
      <c r="X10" s="623"/>
      <c r="Y10" s="623"/>
      <c r="Z10" s="623"/>
      <c r="AA10" s="623"/>
    </row>
    <row r="11" spans="1:27" ht="15" thickBot="1" x14ac:dyDescent="0.4">
      <c r="A11" s="623"/>
      <c r="B11" s="623"/>
      <c r="C11" s="623"/>
      <c r="D11" s="623"/>
      <c r="E11" s="623"/>
      <c r="F11" s="623"/>
      <c r="G11" s="623"/>
      <c r="H11" s="623"/>
      <c r="I11" s="623"/>
      <c r="J11" s="623"/>
      <c r="K11" s="623"/>
      <c r="L11" s="623"/>
      <c r="M11" s="623"/>
      <c r="N11" s="623"/>
      <c r="O11" s="623"/>
      <c r="P11" s="623"/>
      <c r="Q11" s="623"/>
      <c r="R11" s="623"/>
      <c r="S11" s="623"/>
      <c r="T11" s="623"/>
      <c r="U11" s="623"/>
      <c r="V11" s="623"/>
      <c r="W11" s="623"/>
      <c r="X11" s="623"/>
      <c r="Y11" s="623"/>
      <c r="Z11" s="623"/>
      <c r="AA11" s="623"/>
    </row>
    <row r="12" spans="1:27" ht="30" thickTop="1" thickBot="1" x14ac:dyDescent="0.4">
      <c r="A12" s="1674" t="str">
        <f>VLOOKUP("Resultado Neto Mensual Esperado para o Socio da súa Pertenza á Iniciativa Enerxética Comunitaria (€)",tabIdiomas26[],MATCH('Indiv. Invoices Comparison'!$J$2,tabIdiomas26[#Headers]),FALSE)</f>
        <v>Expected Monthly Net Result of the Community Energy Initiative Membership for the Partner (€)</v>
      </c>
      <c r="B12" s="1673">
        <f t="shared" ref="B12:Z12" ca="1" si="1">B3-B9</f>
        <v>-0.61940151391162246</v>
      </c>
      <c r="C12" s="1673">
        <f t="shared" ca="1" si="1"/>
        <v>21.853785195035467</v>
      </c>
      <c r="D12" s="1673">
        <f t="shared" ca="1" si="1"/>
        <v>28.79732793235134</v>
      </c>
      <c r="E12" s="1673">
        <f t="shared" ca="1" si="1"/>
        <v>24.242961190671007</v>
      </c>
      <c r="F12" s="1673">
        <f t="shared" ca="1" si="1"/>
        <v>13.043698711129291</v>
      </c>
      <c r="G12" s="1673">
        <f t="shared" ca="1" si="1"/>
        <v>10.28121396617567</v>
      </c>
      <c r="H12" s="1673">
        <f t="shared" ca="1" si="1"/>
        <v>8.34000846972177</v>
      </c>
      <c r="I12" s="1673">
        <f t="shared" ca="1" si="1"/>
        <v>30.21590117975995</v>
      </c>
      <c r="J12" s="1673">
        <f t="shared" ca="1" si="1"/>
        <v>12.073095962902354</v>
      </c>
      <c r="K12" s="1673">
        <f t="shared" ca="1" si="1"/>
        <v>25.810857937806883</v>
      </c>
      <c r="L12" s="1673">
        <f t="shared" ca="1" si="1"/>
        <v>14.835580707855978</v>
      </c>
      <c r="M12" s="1673">
        <f t="shared" ca="1" si="1"/>
        <v>27.304092935079115</v>
      </c>
      <c r="N12" s="1673">
        <f t="shared" ca="1" si="1"/>
        <v>25.586872688216044</v>
      </c>
      <c r="O12" s="1673">
        <f t="shared" ca="1" si="1"/>
        <v>12.371742962356802</v>
      </c>
      <c r="P12" s="1673">
        <f t="shared" ca="1" si="1"/>
        <v>15.059565957446807</v>
      </c>
      <c r="Q12" s="1673">
        <f t="shared" ca="1" si="1"/>
        <v>18.792653450627384</v>
      </c>
      <c r="R12" s="1673">
        <f t="shared" ca="1" si="1"/>
        <v>30.365224679487174</v>
      </c>
      <c r="S12" s="1673">
        <f t="shared" ca="1" si="1"/>
        <v>14.536933708401531</v>
      </c>
      <c r="T12" s="1673">
        <f t="shared" ca="1" si="1"/>
        <v>23.123034942716838</v>
      </c>
      <c r="U12" s="1673">
        <f t="shared" ca="1" si="1"/>
        <v>21.928446944899086</v>
      </c>
      <c r="V12" s="1673">
        <f t="shared" ca="1" si="1"/>
        <v>1.6951127318603358</v>
      </c>
      <c r="W12" s="1673">
        <f t="shared" ca="1" si="1"/>
        <v>20.659197197217662</v>
      </c>
      <c r="X12" s="1673">
        <f t="shared" ca="1" si="1"/>
        <v>6.7721117225859331</v>
      </c>
      <c r="Y12" s="1673">
        <f t="shared" ca="1" si="1"/>
        <v>0.57518648390616534</v>
      </c>
      <c r="Z12" s="1672">
        <f t="shared" ca="1" si="1"/>
        <v>25.138902189034365</v>
      </c>
      <c r="AA12" s="1671">
        <f ca="1">SUM(B12:Z12)</f>
        <v>432.78410833333334</v>
      </c>
    </row>
    <row r="13" spans="1:27" ht="15.5" thickTop="1" thickBot="1" x14ac:dyDescent="0.4">
      <c r="A13" s="623"/>
      <c r="B13" s="623"/>
      <c r="C13" s="623"/>
      <c r="D13" s="623"/>
      <c r="E13" s="623"/>
      <c r="F13" s="623"/>
      <c r="G13" s="623"/>
      <c r="H13" s="623"/>
      <c r="I13" s="623"/>
      <c r="J13" s="623"/>
      <c r="K13" s="623"/>
      <c r="L13" s="623"/>
      <c r="M13" s="623"/>
      <c r="N13" s="623"/>
      <c r="O13" s="623"/>
      <c r="P13" s="623"/>
      <c r="Q13" s="623"/>
      <c r="R13" s="623"/>
      <c r="S13" s="623"/>
      <c r="T13" s="623"/>
      <c r="U13" s="623"/>
      <c r="V13" s="623"/>
      <c r="W13" s="623"/>
      <c r="X13" s="623"/>
      <c r="Y13" s="623"/>
      <c r="Z13" s="623"/>
      <c r="AA13" s="623"/>
    </row>
    <row r="14" spans="1:27" ht="44.5" thickTop="1" thickBot="1" x14ac:dyDescent="0.4">
      <c r="A14" s="1723" t="str">
        <f>VLOOKUP("Resultado Neto Mensual Esperado para o Socio da súa Pertenza á Iniciativa Enerxética Comunitaria (% s/ Fatura Inicial)",tabIdiomas26[],MATCH('Indiv. Invoices Comparison'!$J$2,tabIdiomas26[#Headers]),FALSE)</f>
        <v>Expected Monthly Net Result of the Community Energy Initiative Membership for the Partner (% on Initial Invoice Amount)</v>
      </c>
      <c r="B14" s="1722">
        <f ca="1">B12/'Factura Socios Sen CE (2)'!B17</f>
        <v>-2.0189189978869232E-2</v>
      </c>
      <c r="C14" s="1722">
        <f ca="1">C12/'Factura Socios Sen CE (2)'!C17</f>
        <v>0.32480413617635556</v>
      </c>
      <c r="D14" s="1722">
        <f ca="1">D12/'Factura Socios Sen CE (2)'!D17</f>
        <v>0.36641444173717092</v>
      </c>
      <c r="E14" s="1722">
        <f ca="1">E12/'Factura Socios Sen CE (2)'!E17</f>
        <v>0.34061385658703947</v>
      </c>
      <c r="F14" s="1722">
        <f ca="1">F12/'Factura Socios Sen CE (2)'!F17</f>
        <v>0.24641635881660298</v>
      </c>
      <c r="G14" s="1722">
        <f ca="1">G12/'Factura Socios Sen CE (2)'!G17</f>
        <v>0.21227182805994138</v>
      </c>
      <c r="H14" s="1722">
        <f ca="1">H12/'Factura Socios Sen CE (2)'!H17</f>
        <v>0.18421814374829718</v>
      </c>
      <c r="I14" s="1722">
        <f ca="1">I12/'Factura Socios Sen CE (2)'!I17</f>
        <v>0.37348434593016688</v>
      </c>
      <c r="J14" s="1722">
        <f ca="1">J12/'Factura Socios Sen CE (2)'!J17</f>
        <v>0.23510143978475623</v>
      </c>
      <c r="K14" s="1722">
        <f ca="1">K12/'Factura Socios Sen CE (2)'!K17</f>
        <v>0.35008202550900874</v>
      </c>
      <c r="L14" s="1722">
        <f ca="1">L12/'Factura Socios Sen CE (2)'!L17</f>
        <v>0.26562263806091402</v>
      </c>
      <c r="M14" s="1722">
        <f ca="1">M12/'Factura Socios Sen CE (2)'!M17</f>
        <v>0.35850901357264581</v>
      </c>
      <c r="N14" s="1722">
        <f ca="1">N12/'Factura Socios Sen CE (2)'!N17</f>
        <v>0.34876978645317241</v>
      </c>
      <c r="O14" s="1722">
        <f ca="1">O12/'Factura Socios Sen CE (2)'!O17</f>
        <v>0.23865645620864398</v>
      </c>
      <c r="P14" s="1722">
        <f ca="1">P12/'Factura Socios Sen CE (2)'!P17</f>
        <v>0.26788320570505486</v>
      </c>
      <c r="Q14" s="1722">
        <f ca="1">Q12/'Factura Socios Sen CE (2)'!Q17</f>
        <v>0.30166148139746063</v>
      </c>
      <c r="R14" s="1722">
        <f ca="1">R12/'Factura Socios Sen CE (2)'!R17</f>
        <v>0.37420512599443795</v>
      </c>
      <c r="S14" s="1722">
        <f ca="1">S12/'Factura Socios Sen CE (2)'!S17</f>
        <v>0.26256220689873955</v>
      </c>
      <c r="T14" s="1722">
        <f ca="1">T12/'Factura Socios Sen CE (2)'!T17</f>
        <v>0.33342396137535907</v>
      </c>
      <c r="U14" s="1722">
        <f ca="1">U12/'Factura Socios Sen CE (2)'!U17</f>
        <v>0.32532582102791058</v>
      </c>
      <c r="V14" s="1722">
        <f ca="1">V12/'Factura Socios Sen CE (2)'!V17</f>
        <v>4.9205564466604575E-2</v>
      </c>
      <c r="W14" s="1722">
        <f ca="1">W12/'Factura Socios Sen CE (2)'!W17</f>
        <v>0.31619307911116223</v>
      </c>
      <c r="X14" s="1722">
        <f ca="1">X12/'Factura Socios Sen CE (2)'!X17</f>
        <v>0.15852783599634537</v>
      </c>
      <c r="Y14" s="1722">
        <f ca="1">Y12/'Factura Socios Sen CE (2)'!Y17</f>
        <v>1.762994546683648E-2</v>
      </c>
      <c r="Z14" s="1721">
        <f ca="1">Z12/'Factura Socios Sen CE (2)'!Z17</f>
        <v>0.34610576262772402</v>
      </c>
      <c r="AA14" s="1720">
        <f ca="1">AA12/'Factura Socios Sen CE (2)'!AA17</f>
        <v>0.28907913723166495</v>
      </c>
    </row>
    <row r="15" spans="1:27" ht="15" thickTop="1" x14ac:dyDescent="0.35"/>
    <row r="18" spans="1:1" x14ac:dyDescent="0.35">
      <c r="A18" s="1134" t="str">
        <f>VLOOKUP("Importante:",tabIdiomas26[],MATCH('Indiv. Invoices Comparison'!$J$2,tabIdiomas26[#Headers]),FALSE)</f>
        <v>Important Notice:</v>
      </c>
    </row>
    <row r="19" spans="1:1" ht="43.5" x14ac:dyDescent="0.35">
      <c r="A19" s="1133" t="str">
        <f>VLOOKUP("Os datos desta folla cumpliméntase automaticamente, polo que non procede a súa modificación manual.",tabIdiomas26[],MATCH('Indiv. Invoices Comparison'!$J$2,tabIdiomas26[#Headers]),FALSE)</f>
        <v>Data on this sheet are automatically filled-in. For this reason it would not be appropriate modifying them manually.</v>
      </c>
    </row>
  </sheetData>
  <sheetProtection algorithmName="SHA-512" hashValue="HgB17ACodslytx13Q4TxI42WNTG2NRODbhUVoiBgayxubaCDhUAXx9h+5u7U5tTfg/f2E65GlbB98nHTPcyqFw==" saltValue="HHL8z8gtFPw1cj8d2WNxcw==" spinCount="100000" sheet="1" objects="1" scenarios="1"/>
  <printOptions horizontalCentered="1" verticalCentered="1"/>
  <pageMargins left="0.70866141732283472" right="0.70866141732283472" top="0.74803149606299213" bottom="0.74803149606299213" header="0.31496062992125984" footer="0.31496062992125984"/>
  <pageSetup paperSize="9" orientation="landscape" r:id="rId1"/>
  <headerFooter>
    <oddHeader>&amp;A</oddHeader>
    <oddFooter>&amp;F</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F6046-C120-4A70-A3D1-5F1DE4A3FF78}">
  <sheetPr>
    <tabColor rgb="FFFFFF00"/>
    <pageSetUpPr fitToPage="1"/>
  </sheetPr>
  <dimension ref="A1:E343"/>
  <sheetViews>
    <sheetView topLeftCell="A253" zoomScale="94" zoomScaleNormal="94" workbookViewId="0">
      <selection activeCell="D267" sqref="D267"/>
    </sheetView>
  </sheetViews>
  <sheetFormatPr baseColWidth="10" defaultColWidth="11.453125" defaultRowHeight="14.5" x14ac:dyDescent="0.35"/>
  <cols>
    <col min="1" max="5" width="40.81640625" customWidth="1"/>
    <col min="6" max="6" width="19.54296875" bestFit="1" customWidth="1"/>
    <col min="7" max="7" width="21.1796875" bestFit="1" customWidth="1"/>
    <col min="8" max="8" width="20.54296875" bestFit="1" customWidth="1"/>
  </cols>
  <sheetData>
    <row r="1" spans="1:5" x14ac:dyDescent="0.35">
      <c r="A1" t="s">
        <v>10</v>
      </c>
      <c r="B1" t="s">
        <v>21</v>
      </c>
      <c r="C1" t="s">
        <v>22</v>
      </c>
      <c r="D1" t="s">
        <v>23</v>
      </c>
      <c r="E1" t="s">
        <v>0</v>
      </c>
    </row>
    <row r="2" spans="1:5" x14ac:dyDescent="0.35">
      <c r="A2" s="327" t="s">
        <v>24</v>
      </c>
      <c r="B2" s="327" t="s">
        <v>25</v>
      </c>
      <c r="C2" s="327" t="s">
        <v>26</v>
      </c>
      <c r="D2" s="327" t="s">
        <v>27</v>
      </c>
      <c r="E2" s="327" t="str">
        <f>tabIdiomas26[[#This Row],[Cadena]]</f>
        <v>Hipóteses Xerais</v>
      </c>
    </row>
    <row r="3" spans="1:5" x14ac:dyDescent="0.35">
      <c r="A3" s="327" t="s">
        <v>28</v>
      </c>
      <c r="B3" s="327" t="s">
        <v>29</v>
      </c>
      <c r="C3" s="327" t="s">
        <v>30</v>
      </c>
      <c r="D3" s="327" t="s">
        <v>31</v>
      </c>
      <c r="E3" s="327" t="str">
        <f>tabIdiomas26[[#This Row],[Cadena]]</f>
        <v>Lingua</v>
      </c>
    </row>
    <row r="4" spans="1:5" x14ac:dyDescent="0.35">
      <c r="A4" s="327" t="s">
        <v>32</v>
      </c>
      <c r="B4" s="327" t="s">
        <v>33</v>
      </c>
      <c r="C4" s="327" t="s">
        <v>34</v>
      </c>
      <c r="D4" s="327" t="s">
        <v>35</v>
      </c>
      <c r="E4" s="327" t="str">
        <f>tabIdiomas26[[#This Row],[Cadena]]</f>
        <v>Emprazamento das Instalacións (Xeral)</v>
      </c>
    </row>
    <row r="5" spans="1:5" x14ac:dyDescent="0.35">
      <c r="A5" s="327" t="s">
        <v>36</v>
      </c>
      <c r="B5" s="327" t="s">
        <v>37</v>
      </c>
      <c r="C5" s="327" t="s">
        <v>38</v>
      </c>
      <c r="D5" s="327" t="s">
        <v>39</v>
      </c>
      <c r="E5" s="327" t="str">
        <f>tabIdiomas26[[#This Row],[Cadena]]</f>
        <v>Área Xeográfica</v>
      </c>
    </row>
    <row r="6" spans="1:5" x14ac:dyDescent="0.35">
      <c r="A6" s="327" t="s">
        <v>1</v>
      </c>
      <c r="B6" s="327" t="s">
        <v>1</v>
      </c>
      <c r="C6" s="327" t="s">
        <v>1</v>
      </c>
      <c r="D6" s="327" t="s">
        <v>1</v>
      </c>
      <c r="E6" s="327" t="str">
        <f>tabIdiomas26[[#This Row],[Cadena]]</f>
        <v>Galicia</v>
      </c>
    </row>
    <row r="7" spans="1:5" x14ac:dyDescent="0.35">
      <c r="A7" s="327" t="s">
        <v>40</v>
      </c>
      <c r="B7" s="327" t="s">
        <v>41</v>
      </c>
      <c r="C7" s="327" t="s">
        <v>2</v>
      </c>
      <c r="D7" s="327" t="s">
        <v>40</v>
      </c>
      <c r="E7" s="327" t="str">
        <f>tabIdiomas26[[#This Row],[Cadena]]</f>
        <v>Resto de España</v>
      </c>
    </row>
    <row r="8" spans="1:5" x14ac:dyDescent="0.35">
      <c r="A8" s="327" t="s">
        <v>42</v>
      </c>
      <c r="B8" s="327" t="s">
        <v>43</v>
      </c>
      <c r="C8" s="327" t="s">
        <v>44</v>
      </c>
      <c r="D8" s="327" t="s">
        <v>45</v>
      </c>
      <c r="E8" s="327" t="str">
        <f>tabIdiomas26[[#This Row],[Cadena]]</f>
        <v>Estranxeiro</v>
      </c>
    </row>
    <row r="9" spans="1:5" x14ac:dyDescent="0.35">
      <c r="A9" s="327" t="s">
        <v>46</v>
      </c>
      <c r="B9" s="327" t="s">
        <v>47</v>
      </c>
      <c r="C9" s="327" t="s">
        <v>48</v>
      </c>
      <c r="D9" s="327" t="s">
        <v>49</v>
      </c>
      <c r="E9" s="327" t="str">
        <f>tabIdiomas26[[#This Row],[Cadena]]</f>
        <v>Provincia ou Rexión</v>
      </c>
    </row>
    <row r="10" spans="1:5" x14ac:dyDescent="0.35">
      <c r="A10" s="327" t="s">
        <v>50</v>
      </c>
      <c r="B10" s="327" t="s">
        <v>51</v>
      </c>
      <c r="C10" s="327" t="s">
        <v>52</v>
      </c>
      <c r="D10" s="327" t="s">
        <v>50</v>
      </c>
      <c r="E10" s="327" t="str">
        <f>tabIdiomas26[[#This Row],[Cadena]]</f>
        <v>Provincia</v>
      </c>
    </row>
    <row r="11" spans="1:5" x14ac:dyDescent="0.35">
      <c r="A11" s="327" t="s">
        <v>53</v>
      </c>
      <c r="B11" s="327" t="s">
        <v>54</v>
      </c>
      <c r="C11" s="327" t="s">
        <v>55</v>
      </c>
      <c r="D11" s="327" t="s">
        <v>56</v>
      </c>
      <c r="E11" s="327" t="str">
        <f>tabIdiomas26[[#This Row],[Cadena]]</f>
        <v>Concello ou Termo Municipal</v>
      </c>
    </row>
    <row r="12" spans="1:5" x14ac:dyDescent="0.35">
      <c r="A12" s="327" t="s">
        <v>57</v>
      </c>
      <c r="B12" s="327" t="s">
        <v>33</v>
      </c>
      <c r="C12" s="327" t="s">
        <v>58</v>
      </c>
      <c r="D12" s="327" t="s">
        <v>59</v>
      </c>
      <c r="E12" s="327" t="str">
        <f>tabIdiomas26[[#This Row],[Cadena]]</f>
        <v>Emprazamento das Instalacións (Galicia)</v>
      </c>
    </row>
    <row r="13" spans="1:5" x14ac:dyDescent="0.35">
      <c r="A13" s="327" t="s">
        <v>60</v>
      </c>
      <c r="B13" s="327" t="s">
        <v>61</v>
      </c>
      <c r="C13" s="327" t="s">
        <v>62</v>
      </c>
      <c r="D13" s="327" t="s">
        <v>60</v>
      </c>
      <c r="E13" s="327" t="str">
        <f>tabIdiomas26[[#This Row],[Cadena]]</f>
        <v>CC.AA.</v>
      </c>
    </row>
    <row r="14" spans="1:5" x14ac:dyDescent="0.35">
      <c r="A14" s="327" t="s">
        <v>63</v>
      </c>
      <c r="B14" s="327" t="s">
        <v>64</v>
      </c>
      <c r="C14" s="327" t="s">
        <v>55</v>
      </c>
      <c r="D14" s="327" t="s">
        <v>65</v>
      </c>
      <c r="E14" s="327" t="str">
        <f>tabIdiomas26[[#This Row],[Cadena]]</f>
        <v>Concello</v>
      </c>
    </row>
    <row r="15" spans="1:5" x14ac:dyDescent="0.35">
      <c r="A15" s="327" t="s">
        <v>66</v>
      </c>
      <c r="B15" s="327" t="s">
        <v>67</v>
      </c>
      <c r="C15" s="327" t="s">
        <v>68</v>
      </c>
      <c r="D15" s="327" t="s">
        <v>66</v>
      </c>
      <c r="E15" s="327" t="str">
        <f>tabIdiomas26[[#This Row],[Cadena]]</f>
        <v>Parroquia</v>
      </c>
    </row>
    <row r="16" spans="1:5" x14ac:dyDescent="0.35">
      <c r="A16" s="327" t="s">
        <v>69</v>
      </c>
      <c r="B16" s="327" t="s">
        <v>69</v>
      </c>
      <c r="C16" s="327" t="s">
        <v>69</v>
      </c>
      <c r="D16" s="327" t="s">
        <v>69</v>
      </c>
      <c r="E16" s="327" t="str">
        <f>tabIdiomas26[[#This Row],[Cadena]]</f>
        <v>A Coruña</v>
      </c>
    </row>
    <row r="17" spans="1:5" x14ac:dyDescent="0.35">
      <c r="A17" s="327" t="s">
        <v>70</v>
      </c>
      <c r="B17" s="327" t="s">
        <v>70</v>
      </c>
      <c r="C17" s="327" t="s">
        <v>70</v>
      </c>
      <c r="D17" s="327" t="s">
        <v>70</v>
      </c>
      <c r="E17" s="327" t="str">
        <f>tabIdiomas26[[#This Row],[Cadena]]</f>
        <v>Lugo</v>
      </c>
    </row>
    <row r="18" spans="1:5" x14ac:dyDescent="0.35">
      <c r="A18" s="327" t="s">
        <v>71</v>
      </c>
      <c r="B18" s="327" t="s">
        <v>71</v>
      </c>
      <c r="C18" s="327" t="s">
        <v>71</v>
      </c>
      <c r="D18" s="327" t="s">
        <v>71</v>
      </c>
      <c r="E18" s="327" t="str">
        <f>tabIdiomas26[[#This Row],[Cadena]]</f>
        <v>Ourense</v>
      </c>
    </row>
    <row r="19" spans="1:5" x14ac:dyDescent="0.35">
      <c r="A19" s="327" t="s">
        <v>3</v>
      </c>
      <c r="B19" s="327" t="s">
        <v>3</v>
      </c>
      <c r="C19" s="327" t="s">
        <v>3</v>
      </c>
      <c r="D19" s="327" t="s">
        <v>3</v>
      </c>
      <c r="E19" s="327" t="str">
        <f>tabIdiomas26[[#This Row],[Cadena]]</f>
        <v>Pontevedra</v>
      </c>
    </row>
    <row r="20" spans="1:5" ht="29" x14ac:dyDescent="0.35">
      <c r="A20" s="327" t="s">
        <v>72</v>
      </c>
      <c r="B20" s="327" t="s">
        <v>73</v>
      </c>
      <c r="C20" s="327" t="s">
        <v>74</v>
      </c>
      <c r="D20" s="327" t="s">
        <v>75</v>
      </c>
      <c r="E20" s="327" t="str">
        <f>tabIdiomas26[[#This Row],[Cadena]]</f>
        <v>Dispoñibilidade de Terreos para Emprazar as Instalacións</v>
      </c>
    </row>
    <row r="21" spans="1:5" x14ac:dyDescent="0.35">
      <c r="A21" s="327" t="s">
        <v>76</v>
      </c>
      <c r="B21" s="327" t="s">
        <v>77</v>
      </c>
      <c r="C21" s="327" t="s">
        <v>78</v>
      </c>
      <c r="D21" s="327" t="s">
        <v>79</v>
      </c>
      <c r="E21" s="327" t="str">
        <f>tabIdiomas26[[#This Row],[Cadena]]</f>
        <v>Superficie de Terreo Dispoñible (m2)</v>
      </c>
    </row>
    <row r="22" spans="1:5" ht="29" x14ac:dyDescent="0.35">
      <c r="A22" s="327" t="s">
        <v>80</v>
      </c>
      <c r="B22" s="327" t="s">
        <v>81</v>
      </c>
      <c r="C22" s="327" t="s">
        <v>82</v>
      </c>
      <c r="D22" s="327" t="s">
        <v>83</v>
      </c>
      <c r="E22" s="327" t="str">
        <f>tabIdiomas26[[#This Row],[Cadena]]</f>
        <v>Superficie Precisa para Corredores (m2)</v>
      </c>
    </row>
    <row r="23" spans="1:5" x14ac:dyDescent="0.35">
      <c r="A23" s="327" t="s">
        <v>84</v>
      </c>
      <c r="B23" s="327" t="s">
        <v>85</v>
      </c>
      <c r="C23" s="327" t="s">
        <v>86</v>
      </c>
      <c r="D23" s="327" t="s">
        <v>87</v>
      </c>
      <c r="E23" s="327" t="str">
        <f>tabIdiomas26[[#This Row],[Cadena]]</f>
        <v>Prazo da Instalación (Anos)</v>
      </c>
    </row>
    <row r="24" spans="1:5" ht="29" x14ac:dyDescent="0.35">
      <c r="A24" s="327" t="s">
        <v>88</v>
      </c>
      <c r="B24" s="327" t="s">
        <v>89</v>
      </c>
      <c r="C24" s="327" t="s">
        <v>90</v>
      </c>
      <c r="D24" s="327" t="s">
        <v>91</v>
      </c>
      <c r="E24" s="327" t="str">
        <f>tabIdiomas26[[#This Row],[Cadena]]</f>
        <v>IVE - Venda de Mercaderías, Gastos e Investimentos (%)</v>
      </c>
    </row>
    <row r="25" spans="1:5" x14ac:dyDescent="0.35">
      <c r="A25" s="327" t="s">
        <v>92</v>
      </c>
      <c r="B25" s="327" t="s">
        <v>93</v>
      </c>
      <c r="C25" s="327" t="s">
        <v>94</v>
      </c>
      <c r="D25" s="327" t="s">
        <v>95</v>
      </c>
      <c r="E25" s="327" t="str">
        <f>tabIdiomas26[[#This Row],[Cadena]]</f>
        <v>IVE - Período de Liquidación (Meses)</v>
      </c>
    </row>
    <row r="26" spans="1:5" x14ac:dyDescent="0.35">
      <c r="A26" s="327" t="s">
        <v>96</v>
      </c>
      <c r="B26" s="327" t="s">
        <v>97</v>
      </c>
      <c r="C26" s="327" t="s">
        <v>98</v>
      </c>
      <c r="D26" s="327" t="s">
        <v>96</v>
      </c>
      <c r="E26" s="327" t="str">
        <f>tabIdiomas26[[#This Row],[Cadena]]</f>
        <v>Tipo Impositivo IS (%)</v>
      </c>
    </row>
    <row r="27" spans="1:5" ht="29" x14ac:dyDescent="0.35">
      <c r="A27" s="327" t="s">
        <v>99</v>
      </c>
      <c r="B27" s="327" t="s">
        <v>100</v>
      </c>
      <c r="C27" s="327" t="s">
        <v>101</v>
      </c>
      <c r="D27" s="327" t="s">
        <v>102</v>
      </c>
      <c r="E27" s="327" t="str">
        <f>tabIdiomas26[[#This Row],[Cadena]]</f>
        <v>Necesidade de Prestación de Garantía á Administración (Si / Non)</v>
      </c>
    </row>
    <row r="28" spans="1:5" x14ac:dyDescent="0.35">
      <c r="A28" s="327" t="s">
        <v>103</v>
      </c>
      <c r="B28" s="327" t="s">
        <v>104</v>
      </c>
      <c r="C28" s="327" t="s">
        <v>7</v>
      </c>
      <c r="D28" s="327" t="s">
        <v>105</v>
      </c>
      <c r="E28" s="327" t="str">
        <f>tabIdiomas26[[#This Row],[Cadena]]</f>
        <v>Si</v>
      </c>
    </row>
    <row r="29" spans="1:5" x14ac:dyDescent="0.35">
      <c r="A29" s="327" t="s">
        <v>12</v>
      </c>
      <c r="B29" s="327" t="s">
        <v>106</v>
      </c>
      <c r="C29" s="327" t="s">
        <v>5</v>
      </c>
      <c r="D29" s="327" t="s">
        <v>5</v>
      </c>
      <c r="E29" s="327" t="str">
        <f>tabIdiomas26[[#This Row],[Cadena]]</f>
        <v>Non</v>
      </c>
    </row>
    <row r="30" spans="1:5" x14ac:dyDescent="0.35">
      <c r="A30" s="327" t="s">
        <v>107</v>
      </c>
      <c r="B30" s="327" t="s">
        <v>108</v>
      </c>
      <c r="C30" s="327" t="s">
        <v>109</v>
      </c>
      <c r="D30" s="327" t="s">
        <v>110</v>
      </c>
      <c r="E30" s="327" t="str">
        <f>tabIdiomas26[[#This Row],[Cadena]]</f>
        <v>Remuneración Caixa (%)</v>
      </c>
    </row>
    <row r="31" spans="1:5" x14ac:dyDescent="0.35">
      <c r="A31" s="327" t="s">
        <v>111</v>
      </c>
      <c r="B31" s="327" t="s">
        <v>112</v>
      </c>
      <c r="C31" s="327" t="s">
        <v>113</v>
      </c>
      <c r="D31" s="327" t="s">
        <v>114</v>
      </c>
      <c r="E31" s="327" t="str">
        <f>tabIdiomas26[[#This Row],[Cadena]]</f>
        <v>Financiamento do Proxecto</v>
      </c>
    </row>
    <row r="32" spans="1:5" ht="29" x14ac:dyDescent="0.35">
      <c r="A32" s="327" t="s">
        <v>115</v>
      </c>
      <c r="B32" s="327" t="s">
        <v>116</v>
      </c>
      <c r="C32" s="327" t="s">
        <v>117</v>
      </c>
      <c r="D32" s="327" t="s">
        <v>118</v>
      </c>
      <c r="E32" s="327" t="str">
        <f>tabIdiomas26[[#This Row],[Cadena]]</f>
        <v>% Financiamento Alleo do investimento (Débeda)</v>
      </c>
    </row>
    <row r="33" spans="1:5" x14ac:dyDescent="0.35">
      <c r="A33" s="327" t="s">
        <v>119</v>
      </c>
      <c r="B33" s="327" t="s">
        <v>120</v>
      </c>
      <c r="C33" s="327" t="s">
        <v>121</v>
      </c>
      <c r="D33" s="327" t="s">
        <v>122</v>
      </c>
      <c r="E33" s="327" t="str">
        <f>tabIdiomas26[[#This Row],[Cadena]]</f>
        <v>Prazo (Anos)</v>
      </c>
    </row>
    <row r="34" spans="1:5" ht="29" x14ac:dyDescent="0.35">
      <c r="A34" s="327" t="s">
        <v>123</v>
      </c>
      <c r="B34" s="327" t="s">
        <v>124</v>
      </c>
      <c r="C34" s="327" t="s">
        <v>125</v>
      </c>
      <c r="D34" s="327" t="s">
        <v>126</v>
      </c>
      <c r="E34" s="327" t="str">
        <f>tabIdiomas26[[#This Row],[Cadena]]</f>
        <v>Período de Carencia de Capital (Anos)</v>
      </c>
    </row>
    <row r="35" spans="1:5" ht="29" x14ac:dyDescent="0.35">
      <c r="A35" s="327" t="s">
        <v>127</v>
      </c>
      <c r="B35" s="327" t="s">
        <v>128</v>
      </c>
      <c r="C35" s="327" t="s">
        <v>129</v>
      </c>
      <c r="D35" s="327" t="s">
        <v>130</v>
      </c>
      <c r="E35" s="327" t="str">
        <f>tabIdiomas26[[#This Row],[Cadena]]</f>
        <v>Periodo de Carencia de Xuros (Anos)</v>
      </c>
    </row>
    <row r="36" spans="1:5" ht="29" x14ac:dyDescent="0.35">
      <c r="A36" s="327" t="s">
        <v>131</v>
      </c>
      <c r="B36" s="327" t="s">
        <v>132</v>
      </c>
      <c r="C36" s="327" t="s">
        <v>133</v>
      </c>
      <c r="D36" s="327" t="s">
        <v>134</v>
      </c>
      <c r="E36" s="327" t="str">
        <f>tabIdiomas26[[#This Row],[Cadena]]</f>
        <v>Número de Meses a Considerar no Primeiro Ano</v>
      </c>
    </row>
    <row r="37" spans="1:5" ht="29" x14ac:dyDescent="0.35">
      <c r="A37" s="327" t="s">
        <v>135</v>
      </c>
      <c r="B37" s="327" t="s">
        <v>136</v>
      </c>
      <c r="C37" s="327" t="s">
        <v>137</v>
      </c>
      <c r="D37" s="327" t="s">
        <v>135</v>
      </c>
      <c r="E37" s="327" t="str">
        <f>tabIdiomas26[[#This Row],[Cadena]]</f>
        <v>Euribor (%)</v>
      </c>
    </row>
    <row r="38" spans="1:5" x14ac:dyDescent="0.35">
      <c r="A38" s="327" t="s">
        <v>138</v>
      </c>
      <c r="B38" s="327" t="s">
        <v>139</v>
      </c>
      <c r="C38" s="327" t="s">
        <v>140</v>
      </c>
      <c r="D38" s="327" t="s">
        <v>141</v>
      </c>
      <c r="E38" s="327" t="str">
        <f>tabIdiomas26[[#This Row],[Cadena]]</f>
        <v>Marxe sobre Euribor (%)</v>
      </c>
    </row>
    <row r="39" spans="1:5" x14ac:dyDescent="0.35">
      <c r="A39" s="327" t="s">
        <v>142</v>
      </c>
      <c r="B39" s="327" t="s">
        <v>143</v>
      </c>
      <c r="C39" s="327" t="s">
        <v>144</v>
      </c>
      <c r="D39" s="327" t="s">
        <v>142</v>
      </c>
      <c r="E39" s="327" t="str">
        <f>tabIdiomas26[[#This Row],[Cadena]]</f>
        <v>Comisión de Apertura (%)</v>
      </c>
    </row>
    <row r="40" spans="1:5" ht="29" x14ac:dyDescent="0.35">
      <c r="A40" s="327" t="s">
        <v>145</v>
      </c>
      <c r="B40" s="327" t="s">
        <v>146</v>
      </c>
      <c r="C40" s="327" t="s">
        <v>147</v>
      </c>
      <c r="D40" s="327" t="s">
        <v>148</v>
      </c>
      <c r="E40" s="327" t="str">
        <f>tabIdiomas26[[#This Row],[Cadena]]</f>
        <v>Desglose do Investimento: Instalacións e Gastos de Constitución</v>
      </c>
    </row>
    <row r="41" spans="1:5" ht="29" x14ac:dyDescent="0.35">
      <c r="A41" s="327" t="s">
        <v>149</v>
      </c>
      <c r="B41" s="327" t="s">
        <v>150</v>
      </c>
      <c r="C41" s="327" t="s">
        <v>151</v>
      </c>
      <c r="D41" s="327" t="s">
        <v>152</v>
      </c>
      <c r="E41" s="327" t="str">
        <f>tabIdiomas26[[#This Row],[Cadena]]</f>
        <v>Ratio de Investimento s/ Potencia Instalada (€/kW)</v>
      </c>
    </row>
    <row r="42" spans="1:5" ht="29" x14ac:dyDescent="0.35">
      <c r="A42" s="327" t="s">
        <v>153</v>
      </c>
      <c r="B42" s="327" t="s">
        <v>154</v>
      </c>
      <c r="C42" s="327" t="s">
        <v>155</v>
      </c>
      <c r="D42" s="327" t="s">
        <v>156</v>
      </c>
      <c r="E42" s="327" t="str">
        <f>tabIdiomas26[[#This Row],[Cadena]]</f>
        <v>Necesidade de Novo CUPS, Propio (Si/Non)</v>
      </c>
    </row>
    <row r="43" spans="1:5" ht="29" x14ac:dyDescent="0.35">
      <c r="A43" s="327" t="s">
        <v>157</v>
      </c>
      <c r="B43" s="327" t="s">
        <v>158</v>
      </c>
      <c r="C43" s="327" t="s">
        <v>159</v>
      </c>
      <c r="D43" s="327" t="s">
        <v>160</v>
      </c>
      <c r="E43" s="327" t="str">
        <f>tabIdiomas26[[#This Row],[Cadena]]</f>
        <v>Custo de Investimento Vinculado á Obtención do Novo CUPS (€)</v>
      </c>
    </row>
    <row r="44" spans="1:5" ht="29" x14ac:dyDescent="0.35">
      <c r="A44" s="327" t="s">
        <v>161</v>
      </c>
      <c r="B44" s="327" t="s">
        <v>162</v>
      </c>
      <c r="C44" s="327" t="s">
        <v>163</v>
      </c>
      <c r="D44" s="327" t="s">
        <v>164</v>
      </c>
      <c r="E44" s="327" t="str">
        <f>tabIdiomas26[[#This Row],[Cadena]]</f>
        <v>Gastos de Constitución (Importe Fixo ou Proporcional ao Investimento)</v>
      </c>
    </row>
    <row r="45" spans="1:5" x14ac:dyDescent="0.35">
      <c r="A45" s="327" t="s">
        <v>165</v>
      </c>
      <c r="B45" s="327" t="s">
        <v>166</v>
      </c>
      <c r="C45" s="327" t="s">
        <v>6</v>
      </c>
      <c r="D45" s="327" t="s">
        <v>167</v>
      </c>
      <c r="E45" s="327" t="str">
        <f>tabIdiomas26[[#This Row],[Cadena]]</f>
        <v>Fixo</v>
      </c>
    </row>
    <row r="46" spans="1:5" x14ac:dyDescent="0.35">
      <c r="A46" s="327" t="s">
        <v>168</v>
      </c>
      <c r="B46" s="327" t="s">
        <v>169</v>
      </c>
      <c r="C46" s="327" t="s">
        <v>170</v>
      </c>
      <c r="D46" s="327" t="s">
        <v>168</v>
      </c>
      <c r="E46" s="327" t="str">
        <f>tabIdiomas26[[#This Row],[Cadena]]</f>
        <v>Proporcional</v>
      </c>
    </row>
    <row r="47" spans="1:5" ht="29" x14ac:dyDescent="0.35">
      <c r="A47" s="327" t="s">
        <v>171</v>
      </c>
      <c r="B47" s="327" t="s">
        <v>172</v>
      </c>
      <c r="C47" s="327" t="s">
        <v>173</v>
      </c>
      <c r="D47" s="327" t="s">
        <v>174</v>
      </c>
      <c r="E47" s="327" t="str">
        <f>tabIdiomas26[[#This Row],[Cadena]]</f>
        <v>Gastos de Constitución (Importe Proporcional, % s/Investimento Inicial, se Aplicable)</v>
      </c>
    </row>
    <row r="48" spans="1:5" ht="29" x14ac:dyDescent="0.35">
      <c r="A48" s="327" t="s">
        <v>175</v>
      </c>
      <c r="B48" s="327" t="s">
        <v>176</v>
      </c>
      <c r="C48" s="327" t="s">
        <v>177</v>
      </c>
      <c r="D48" s="327" t="s">
        <v>178</v>
      </c>
      <c r="E48" s="327" t="str">
        <f>tabIdiomas26[[#This Row],[Cadena]]</f>
        <v>Gastos de Constitución (Importe Fixo, se Aplicable) (€)</v>
      </c>
    </row>
    <row r="49" spans="1:5" x14ac:dyDescent="0.35">
      <c r="A49" s="327" t="s">
        <v>179</v>
      </c>
      <c r="B49" s="327" t="s">
        <v>657</v>
      </c>
      <c r="C49" s="327" t="s">
        <v>656</v>
      </c>
      <c r="D49" s="327" t="s">
        <v>181</v>
      </c>
      <c r="E49" s="327" t="str">
        <f>tabIdiomas26[[#This Row],[Cadena]]</f>
        <v>GASTOS: Compras de Materiais e Servizos</v>
      </c>
    </row>
    <row r="50" spans="1:5" x14ac:dyDescent="0.35">
      <c r="A50" s="327" t="s">
        <v>182</v>
      </c>
      <c r="B50" s="327" t="s">
        <v>183</v>
      </c>
      <c r="C50" s="327" t="s">
        <v>11</v>
      </c>
      <c r="D50" s="327" t="s">
        <v>182</v>
      </c>
      <c r="E50" s="327" t="str">
        <f>tabIdiomas26[[#This Row],[Cadena]]</f>
        <v>Auto-explotación</v>
      </c>
    </row>
    <row r="51" spans="1:5" x14ac:dyDescent="0.35">
      <c r="A51" s="327" t="s">
        <v>184</v>
      </c>
      <c r="B51" s="327" t="s">
        <v>185</v>
      </c>
      <c r="C51" s="327" t="s">
        <v>186</v>
      </c>
      <c r="D51" s="327" t="s">
        <v>187</v>
      </c>
      <c r="E51" s="327" t="str">
        <f>tabIdiomas26[[#This Row],[Cadena]]</f>
        <v>Persoal Propio</v>
      </c>
    </row>
    <row r="52" spans="1:5" x14ac:dyDescent="0.35">
      <c r="A52" s="327" t="s">
        <v>188</v>
      </c>
      <c r="B52" s="327" t="s">
        <v>189</v>
      </c>
      <c r="C52" s="327" t="s">
        <v>190</v>
      </c>
      <c r="D52" s="327" t="s">
        <v>188</v>
      </c>
      <c r="E52" s="327" t="str">
        <f>tabIdiomas26[[#This Row],[Cadena]]</f>
        <v>Subcontratación</v>
      </c>
    </row>
    <row r="53" spans="1:5" x14ac:dyDescent="0.35">
      <c r="A53" s="327" t="s">
        <v>191</v>
      </c>
      <c r="B53" s="327" t="s">
        <v>668</v>
      </c>
      <c r="C53" s="327" t="s">
        <v>192</v>
      </c>
      <c r="D53" s="327" t="s">
        <v>193</v>
      </c>
      <c r="E53" s="327" t="str">
        <f>tabIdiomas26[[#This Row],[Cadena]]</f>
        <v>Compras de Materiais e Servizos (Si/Non)</v>
      </c>
    </row>
    <row r="54" spans="1:5" x14ac:dyDescent="0.35">
      <c r="A54" s="327" t="s">
        <v>194</v>
      </c>
      <c r="B54" s="327" t="s">
        <v>671</v>
      </c>
      <c r="C54" s="327" t="s">
        <v>195</v>
      </c>
      <c r="D54" s="327" t="s">
        <v>196</v>
      </c>
      <c r="E54" s="327" t="str">
        <f>tabIdiomas26[[#This Row],[Cadena]]</f>
        <v>Realización das Labores de Xestión</v>
      </c>
    </row>
    <row r="55" spans="1:5" x14ac:dyDescent="0.35">
      <c r="A55" s="327" t="s">
        <v>197</v>
      </c>
      <c r="B55" s="327" t="s">
        <v>658</v>
      </c>
      <c r="C55" s="327" t="s">
        <v>198</v>
      </c>
      <c r="D55" s="327" t="s">
        <v>197</v>
      </c>
      <c r="E55" s="327" t="str">
        <f>tabIdiomas26[[#This Row],[Cadena]]</f>
        <v>Unidades</v>
      </c>
    </row>
    <row r="56" spans="1:5" x14ac:dyDescent="0.35">
      <c r="A56" s="328" t="s">
        <v>199</v>
      </c>
      <c r="B56" s="327" t="s">
        <v>659</v>
      </c>
      <c r="C56" s="327" t="s">
        <v>660</v>
      </c>
      <c r="D56" s="328" t="s">
        <v>661</v>
      </c>
      <c r="E56" s="327" t="s">
        <v>661</v>
      </c>
    </row>
    <row r="57" spans="1:5" ht="29" x14ac:dyDescent="0.35">
      <c r="A57" s="327" t="s">
        <v>200</v>
      </c>
      <c r="B57" s="327" t="s">
        <v>201</v>
      </c>
      <c r="C57" s="327" t="s">
        <v>202</v>
      </c>
      <c r="D57" s="327" t="s">
        <v>203</v>
      </c>
      <c r="E57" s="327" t="str">
        <f>tabIdiomas26[[#This Row],[Cadena]]</f>
        <v>Desglose do Investimento: Datos Relativos ao Inversor</v>
      </c>
    </row>
    <row r="58" spans="1:5" ht="29" x14ac:dyDescent="0.35">
      <c r="A58" s="327" t="s">
        <v>204</v>
      </c>
      <c r="B58" s="327" t="s">
        <v>205</v>
      </c>
      <c r="C58" s="327" t="s">
        <v>206</v>
      </c>
      <c r="D58" s="327" t="s">
        <v>207</v>
      </c>
      <c r="E58" s="327" t="str">
        <f>tabIdiomas26[[#This Row],[Cadena]]</f>
        <v>Investimento Inversor (% s/ Invest. Inicial en Instalacións)</v>
      </c>
    </row>
    <row r="59" spans="1:5" ht="29" x14ac:dyDescent="0.35">
      <c r="A59" s="327" t="s">
        <v>208</v>
      </c>
      <c r="B59" s="327" t="s">
        <v>209</v>
      </c>
      <c r="C59" s="327" t="s">
        <v>210</v>
      </c>
      <c r="D59" s="327" t="s">
        <v>211</v>
      </c>
      <c r="E59" s="327" t="str">
        <f>tabIdiomas26[[#This Row],[Cadena]]</f>
        <v>Prazo Invest. Inversor (Vida Útil Estimada)</v>
      </c>
    </row>
    <row r="60" spans="1:5" x14ac:dyDescent="0.35">
      <c r="A60" s="328" t="s">
        <v>212</v>
      </c>
      <c r="B60" s="327" t="s">
        <v>662</v>
      </c>
      <c r="C60" s="327" t="s">
        <v>213</v>
      </c>
      <c r="D60" s="327" t="s">
        <v>214</v>
      </c>
      <c r="E60" s="327" t="str">
        <f>tabIdiomas26[[#This Row],[Cadena]]</f>
        <v>Compras de Outros Aprovisionamentos</v>
      </c>
    </row>
    <row r="61" spans="1:5" ht="29" x14ac:dyDescent="0.35">
      <c r="A61" s="327" t="s">
        <v>215</v>
      </c>
      <c r="B61" s="327" t="s">
        <v>663</v>
      </c>
      <c r="C61" s="327" t="s">
        <v>216</v>
      </c>
      <c r="D61" s="327" t="s">
        <v>217</v>
      </c>
      <c r="E61" s="327" t="str">
        <f>tabIdiomas26[[#This Row],[Cadena]]</f>
        <v>Compras de Elementos e Conxuntos Incorporables</v>
      </c>
    </row>
    <row r="62" spans="1:5" x14ac:dyDescent="0.35">
      <c r="A62" s="327" t="s">
        <v>218</v>
      </c>
      <c r="B62" s="327" t="s">
        <v>219</v>
      </c>
      <c r="C62" s="327" t="s">
        <v>220</v>
      </c>
      <c r="D62" s="327" t="s">
        <v>218</v>
      </c>
      <c r="E62" s="327" t="str">
        <f>tabIdiomas26[[#This Row],[Cadena]]</f>
        <v>Subvención Pública</v>
      </c>
    </row>
    <row r="63" spans="1:5" x14ac:dyDescent="0.35">
      <c r="A63" s="327" t="s">
        <v>221</v>
      </c>
      <c r="B63" s="327" t="s">
        <v>222</v>
      </c>
      <c r="C63" s="327" t="s">
        <v>223</v>
      </c>
      <c r="D63" s="327" t="s">
        <v>224</v>
      </c>
      <c r="E63" s="327" t="str">
        <f>tabIdiomas26[[#This Row],[Cadena]]</f>
        <v>Subvención Pública (Si / Non)</v>
      </c>
    </row>
    <row r="64" spans="1:5" ht="29" x14ac:dyDescent="0.35">
      <c r="A64" s="327" t="s">
        <v>225</v>
      </c>
      <c r="B64" s="327" t="s">
        <v>226</v>
      </c>
      <c r="C64" s="327" t="s">
        <v>227</v>
      </c>
      <c r="D64" s="327" t="s">
        <v>228</v>
      </c>
      <c r="E64" s="327" t="str">
        <f>tabIdiomas26[[#This Row],[Cadena]]</f>
        <v>Ratio de Subvención (Subv. -%- s/  -Invest. Inicial en Instalac.)</v>
      </c>
    </row>
    <row r="65" spans="1:5" x14ac:dyDescent="0.35">
      <c r="A65" s="327" t="s">
        <v>229</v>
      </c>
      <c r="B65" s="327" t="s">
        <v>230</v>
      </c>
      <c r="C65" s="327" t="s">
        <v>231</v>
      </c>
      <c r="D65" s="327" t="s">
        <v>232</v>
      </c>
      <c r="E65" s="327" t="str">
        <f>tabIdiomas26[[#This Row],[Cadena]]</f>
        <v>Composición da Base de Socios</v>
      </c>
    </row>
    <row r="66" spans="1:5" x14ac:dyDescent="0.35">
      <c r="A66" s="327" t="s">
        <v>233</v>
      </c>
      <c r="B66" s="327" t="s">
        <v>234</v>
      </c>
      <c r="C66" s="327" t="s">
        <v>235</v>
      </c>
      <c r="D66" s="327" t="s">
        <v>233</v>
      </c>
      <c r="E66" s="327" t="str">
        <f>tabIdiomas26[[#This Row],[Cadena]]</f>
        <v>% S/Total de Socios</v>
      </c>
    </row>
    <row r="67" spans="1:5" x14ac:dyDescent="0.35">
      <c r="A67" s="327" t="s">
        <v>236</v>
      </c>
      <c r="B67" s="327" t="s">
        <v>237</v>
      </c>
      <c r="C67" s="327" t="s">
        <v>238</v>
      </c>
      <c r="D67" s="327" t="s">
        <v>236</v>
      </c>
      <c r="E67" s="327" t="str">
        <f>tabIdiomas26[[#This Row],[Cadena]]</f>
        <v>Proporción de Socios Segmento Residencial</v>
      </c>
    </row>
    <row r="68" spans="1:5" x14ac:dyDescent="0.35">
      <c r="A68" s="327" t="s">
        <v>239</v>
      </c>
      <c r="B68" s="327" t="s">
        <v>240</v>
      </c>
      <c r="C68" s="327" t="s">
        <v>241</v>
      </c>
      <c r="D68" s="327" t="s">
        <v>242</v>
      </c>
      <c r="E68" s="327" t="str">
        <f>tabIdiomas26[[#This Row],[Cadena]]</f>
        <v>Cotas de Socios e Outros Ingresos Mensuais</v>
      </c>
    </row>
    <row r="69" spans="1:5" x14ac:dyDescent="0.35">
      <c r="A69" s="327" t="s">
        <v>243</v>
      </c>
      <c r="B69" s="327" t="s">
        <v>244</v>
      </c>
      <c r="C69" s="327" t="s">
        <v>245</v>
      </c>
      <c r="D69" s="327" t="s">
        <v>246</v>
      </c>
      <c r="E69" s="327" t="str">
        <f>tabIdiomas26[[#This Row],[Cadena]]</f>
        <v>Cota Extraord. Primeiro Ano (€/Mes)</v>
      </c>
    </row>
    <row r="70" spans="1:5" x14ac:dyDescent="0.35">
      <c r="A70" s="327" t="s">
        <v>247</v>
      </c>
      <c r="B70" s="327" t="s">
        <v>248</v>
      </c>
      <c r="C70" s="327" t="s">
        <v>249</v>
      </c>
      <c r="D70" s="327" t="s">
        <v>250</v>
      </c>
      <c r="E70" s="327" t="str">
        <f>tabIdiomas26[[#This Row],[Cadena]]</f>
        <v>Outros Ingresos Mensuais (€/Mes)</v>
      </c>
    </row>
    <row r="71" spans="1:5" ht="29" x14ac:dyDescent="0.35">
      <c r="A71" s="327" t="s">
        <v>251</v>
      </c>
      <c r="B71" s="327" t="s">
        <v>252</v>
      </c>
      <c r="C71" s="327" t="s">
        <v>253</v>
      </c>
      <c r="D71" s="327" t="s">
        <v>254</v>
      </c>
      <c r="E71" s="327" t="str">
        <f>tabIdiomas26[[#This Row],[Cadena]]</f>
        <v>Impacto Fiscal Trasladado a Cotas de Socios (Si/Non)</v>
      </c>
    </row>
    <row r="72" spans="1:5" x14ac:dyDescent="0.35">
      <c r="A72" s="328" t="s">
        <v>255</v>
      </c>
      <c r="B72" s="327" t="s">
        <v>664</v>
      </c>
      <c r="C72" s="327" t="s">
        <v>256</v>
      </c>
      <c r="D72" s="327" t="s">
        <v>255</v>
      </c>
      <c r="E72" s="327" t="str">
        <f>tabIdiomas26[[#This Row],[Cadena]]</f>
        <v>Compras de Combustibles</v>
      </c>
    </row>
    <row r="73" spans="1:5" x14ac:dyDescent="0.35">
      <c r="A73" s="328" t="s">
        <v>257</v>
      </c>
      <c r="B73" s="327" t="s">
        <v>665</v>
      </c>
      <c r="C73" s="327" t="s">
        <v>258</v>
      </c>
      <c r="D73" s="327" t="s">
        <v>259</v>
      </c>
      <c r="E73" s="327" t="str">
        <f>tabIdiomas26[[#This Row],[Cadena]]</f>
        <v>Compras de Repostos</v>
      </c>
    </row>
    <row r="74" spans="1:5" x14ac:dyDescent="0.35">
      <c r="A74" s="328" t="s">
        <v>260</v>
      </c>
      <c r="B74" s="327" t="s">
        <v>261</v>
      </c>
      <c r="C74" s="327" t="s">
        <v>262</v>
      </c>
      <c r="D74" s="327" t="s">
        <v>263</v>
      </c>
      <c r="E74" s="327" t="str">
        <f>tabIdiomas26[[#This Row],[Cadena]]</f>
        <v>Compras de Materiais Diversos</v>
      </c>
    </row>
    <row r="75" spans="1:5" ht="28.5" customHeight="1" x14ac:dyDescent="0.35">
      <c r="A75" s="328" t="s">
        <v>264</v>
      </c>
      <c r="B75" s="327" t="s">
        <v>666</v>
      </c>
      <c r="C75" s="327" t="s">
        <v>265</v>
      </c>
      <c r="D75" s="327" t="s">
        <v>264</v>
      </c>
      <c r="E75" s="327" t="str">
        <f>tabIdiomas26[[#This Row],[Cadena]]</f>
        <v>Compras de Material de Oficina</v>
      </c>
    </row>
    <row r="76" spans="1:5" x14ac:dyDescent="0.35">
      <c r="A76" s="328" t="s">
        <v>266</v>
      </c>
      <c r="B76" s="327" t="s">
        <v>667</v>
      </c>
      <c r="C76" s="327" t="s">
        <v>267</v>
      </c>
      <c r="D76" s="327" t="s">
        <v>268</v>
      </c>
      <c r="E76" s="327" t="str">
        <f>tabIdiomas26[[#This Row],[Cadena]]</f>
        <v>Traballos realizados por Outras Empresas</v>
      </c>
    </row>
    <row r="77" spans="1:5" x14ac:dyDescent="0.35">
      <c r="A77" s="328" t="s">
        <v>269</v>
      </c>
      <c r="B77" s="327" t="s">
        <v>270</v>
      </c>
      <c r="C77" s="327" t="s">
        <v>271</v>
      </c>
      <c r="D77" s="327" t="s">
        <v>272</v>
      </c>
      <c r="E77" s="327" t="str">
        <f>tabIdiomas26[[#This Row],[Cadena]]</f>
        <v>Hipóteses Relativas á Enerxía</v>
      </c>
    </row>
    <row r="78" spans="1:5" ht="29" x14ac:dyDescent="0.35">
      <c r="A78" s="328" t="s">
        <v>273</v>
      </c>
      <c r="B78" s="327" t="s">
        <v>274</v>
      </c>
      <c r="C78" s="327" t="s">
        <v>275</v>
      </c>
      <c r="D78" s="327" t="s">
        <v>276</v>
      </c>
      <c r="E78" s="327" t="str">
        <f>tabIdiomas26[[#This Row],[Cadena]]</f>
        <v>Prezo de Referencia de Mercado da Electricidade (€/MWh)</v>
      </c>
    </row>
    <row r="79" spans="1:5" ht="28.5" customHeight="1" x14ac:dyDescent="0.35">
      <c r="A79" s="328" t="s">
        <v>277</v>
      </c>
      <c r="B79" s="327" t="s">
        <v>278</v>
      </c>
      <c r="C79" s="327" t="s">
        <v>180</v>
      </c>
      <c r="D79" s="327" t="s">
        <v>279</v>
      </c>
      <c r="E79" s="327" t="str">
        <f>tabIdiomas26[[#This Row],[Cadena]]</f>
        <v>GASTOS: Gastos de Persoal</v>
      </c>
    </row>
    <row r="80" spans="1:5" ht="29" x14ac:dyDescent="0.35">
      <c r="A80" s="328" t="s">
        <v>280</v>
      </c>
      <c r="B80" s="327" t="s">
        <v>651</v>
      </c>
      <c r="C80" s="327" t="s">
        <v>281</v>
      </c>
      <c r="D80" s="327" t="s">
        <v>282</v>
      </c>
      <c r="E80" s="327" t="str">
        <f>tabIdiomas26[[#This Row],[Cadena]]</f>
        <v>Número de Empregados a Xornada Completa Equivalentes</v>
      </c>
    </row>
    <row r="81" spans="1:5" ht="29" x14ac:dyDescent="0.35">
      <c r="A81" s="328" t="s">
        <v>283</v>
      </c>
      <c r="B81" s="327" t="s">
        <v>652</v>
      </c>
      <c r="C81" s="327" t="s">
        <v>284</v>
      </c>
      <c r="D81" s="327" t="s">
        <v>285</v>
      </c>
      <c r="E81" s="327" t="str">
        <f>tabIdiomas26[[#This Row],[Cadena]]</f>
        <v>Seguridade Social a cargo da Empresa</v>
      </c>
    </row>
    <row r="82" spans="1:5" x14ac:dyDescent="0.35">
      <c r="A82" s="328" t="s">
        <v>286</v>
      </c>
      <c r="B82" s="327" t="s">
        <v>653</v>
      </c>
      <c r="C82" s="327" t="s">
        <v>287</v>
      </c>
      <c r="D82" s="327" t="s">
        <v>288</v>
      </c>
      <c r="E82" s="327" t="str">
        <f>tabIdiomas26[[#This Row],[Cadena]]</f>
        <v>Outros gastos sociais</v>
      </c>
    </row>
    <row r="83" spans="1:5" ht="29" x14ac:dyDescent="0.35">
      <c r="A83" s="328" t="s">
        <v>289</v>
      </c>
      <c r="B83" s="327" t="s">
        <v>290</v>
      </c>
      <c r="C83" s="327" t="s">
        <v>291</v>
      </c>
      <c r="D83" s="327" t="s">
        <v>292</v>
      </c>
      <c r="E83" s="327" t="str">
        <f>tabIdiomas26[[#This Row],[Cadena]]</f>
        <v>Prezo Autoconsumo (% sobre Prezo Medio)</v>
      </c>
    </row>
    <row r="84" spans="1:5" ht="29" x14ac:dyDescent="0.35">
      <c r="A84" s="328" t="s">
        <v>293</v>
      </c>
      <c r="B84" s="327" t="s">
        <v>294</v>
      </c>
      <c r="C84" s="327" t="s">
        <v>295</v>
      </c>
      <c r="D84" s="327" t="s">
        <v>296</v>
      </c>
      <c r="E84" s="327" t="str">
        <f>tabIdiomas26[[#This Row],[Cadena]]</f>
        <v>Prezo Compensación (% sobre Prezo Medio)</v>
      </c>
    </row>
    <row r="85" spans="1:5" x14ac:dyDescent="0.35">
      <c r="A85" s="328" t="s">
        <v>297</v>
      </c>
      <c r="B85" s="327" t="s">
        <v>298</v>
      </c>
      <c r="C85" s="327" t="s">
        <v>299</v>
      </c>
      <c r="D85" s="327" t="s">
        <v>300</v>
      </c>
      <c r="E85" s="327" t="str">
        <f>tabIdiomas26[[#This Row],[Cadena]]</f>
        <v>Prezo Venda (% sobre Prezo Medio)</v>
      </c>
    </row>
    <row r="86" spans="1:5" ht="29" x14ac:dyDescent="0.35">
      <c r="A86" s="328" t="s">
        <v>301</v>
      </c>
      <c r="B86" s="327" t="s">
        <v>654</v>
      </c>
      <c r="C86" s="327" t="s">
        <v>302</v>
      </c>
      <c r="D86" s="327" t="s">
        <v>303</v>
      </c>
      <c r="E86" s="327" t="str">
        <f>tabIdiomas26[[#This Row],[Cadena]]</f>
        <v>Compensación ou Venda da Enerxía</v>
      </c>
    </row>
    <row r="87" spans="1:5" x14ac:dyDescent="0.35">
      <c r="A87" s="328" t="s">
        <v>304</v>
      </c>
      <c r="B87" s="327" t="s">
        <v>655</v>
      </c>
      <c r="C87" s="327" t="s">
        <v>305</v>
      </c>
      <c r="D87" s="327" t="s">
        <v>304</v>
      </c>
      <c r="E87" s="327" t="str">
        <f>tabIdiomas26[[#This Row],[Cadena]]</f>
        <v>Compensación</v>
      </c>
    </row>
    <row r="88" spans="1:5" x14ac:dyDescent="0.35">
      <c r="A88" s="328" t="s">
        <v>306</v>
      </c>
      <c r="B88" s="327" t="s">
        <v>307</v>
      </c>
      <c r="C88" s="327" t="s">
        <v>8</v>
      </c>
      <c r="D88" s="327" t="s">
        <v>308</v>
      </c>
      <c r="E88" s="327" t="str">
        <f>tabIdiomas26[[#This Row],[Cadena]]</f>
        <v>Venda</v>
      </c>
    </row>
    <row r="89" spans="1:5" ht="29" x14ac:dyDescent="0.35">
      <c r="A89" s="328" t="s">
        <v>309</v>
      </c>
      <c r="B89" s="327" t="s">
        <v>310</v>
      </c>
      <c r="C89" s="327" t="s">
        <v>311</v>
      </c>
      <c r="D89" s="327" t="s">
        <v>312</v>
      </c>
      <c r="E89" s="327" t="str">
        <f>tabIdiomas26[[#This Row],[Cadena]]</f>
        <v>Porcentaxe Esóxena de Aforro sobre Consumo Total (%)</v>
      </c>
    </row>
    <row r="90" spans="1:5" x14ac:dyDescent="0.35">
      <c r="A90" s="328" t="s">
        <v>313</v>
      </c>
      <c r="B90" s="327" t="s">
        <v>314</v>
      </c>
      <c r="C90" s="327" t="s">
        <v>315</v>
      </c>
      <c r="D90" s="327" t="s">
        <v>316</v>
      </c>
      <c r="E90" s="327" t="str">
        <f>tabIdiomas26[[#This Row],[Cadena]]</f>
        <v>Batería Virtual (Si / Non)</v>
      </c>
    </row>
    <row r="91" spans="1:5" ht="58" x14ac:dyDescent="0.35">
      <c r="A91" s="328" t="s">
        <v>317</v>
      </c>
      <c r="B91" s="327" t="s">
        <v>318</v>
      </c>
      <c r="C91" s="327" t="s">
        <v>319</v>
      </c>
      <c r="D91" s="327" t="s">
        <v>320</v>
      </c>
      <c r="E91" s="327" t="str">
        <f>tabIdiomas26[[#This Row],[Cadena]]</f>
        <v>Proporción da Enerxía Compensada que se Retribuiría Económicamente pola Comercializadora de NON existir Batería Virtual</v>
      </c>
    </row>
    <row r="92" spans="1:5" ht="29" x14ac:dyDescent="0.35">
      <c r="A92" s="328" t="s">
        <v>321</v>
      </c>
      <c r="B92" s="327" t="s">
        <v>322</v>
      </c>
      <c r="C92" s="327" t="s">
        <v>323</v>
      </c>
      <c r="D92" s="327" t="s">
        <v>324</v>
      </c>
      <c r="E92" s="327" t="str">
        <f>tabIdiomas26[[#This Row],[Cadena]]</f>
        <v>Proporción Autoconsumo s/ Enerxía Xerada (Mix Resid-Empr. Equilibrado)</v>
      </c>
    </row>
    <row r="93" spans="1:5" ht="43.5" x14ac:dyDescent="0.35">
      <c r="A93" s="328" t="s">
        <v>325</v>
      </c>
      <c r="B93" s="327" t="s">
        <v>326</v>
      </c>
      <c r="C93" s="327" t="s">
        <v>327</v>
      </c>
      <c r="D93" s="327" t="s">
        <v>328</v>
      </c>
      <c r="E93" s="327" t="str">
        <f>tabIdiomas26[[#This Row],[Cadena]]</f>
        <v>Proporción Autoconsumo s/ Enerxía Xerada (Mix Resid-Empr. Parcialmente Equilibrado)</v>
      </c>
    </row>
    <row r="94" spans="1:5" ht="43.5" x14ac:dyDescent="0.35">
      <c r="A94" s="328" t="s">
        <v>329</v>
      </c>
      <c r="B94" s="327" t="s">
        <v>330</v>
      </c>
      <c r="C94" s="327" t="s">
        <v>331</v>
      </c>
      <c r="D94" s="327" t="s">
        <v>332</v>
      </c>
      <c r="E94" s="327" t="str">
        <f>tabIdiomas26[[#This Row],[Cadena]]</f>
        <v>Proporción Autoconsumo s/ Enerxía Xerada (Mix Resid-Empr. Desequilibrado)</v>
      </c>
    </row>
    <row r="95" spans="1:5" ht="30" customHeight="1" x14ac:dyDescent="0.35">
      <c r="A95" s="328" t="s">
        <v>333</v>
      </c>
      <c r="B95" s="327" t="s">
        <v>669</v>
      </c>
      <c r="C95" s="327" t="s">
        <v>334</v>
      </c>
      <c r="D95" s="327" t="s">
        <v>670</v>
      </c>
      <c r="E95" s="327" t="s">
        <v>670</v>
      </c>
    </row>
    <row r="96" spans="1:5" ht="36" customHeight="1" x14ac:dyDescent="0.35">
      <c r="A96" s="328" t="s">
        <v>335</v>
      </c>
      <c r="B96" s="327" t="s">
        <v>672</v>
      </c>
      <c r="C96" s="327" t="s">
        <v>336</v>
      </c>
      <c r="D96" s="327" t="s">
        <v>337</v>
      </c>
      <c r="E96" s="327" t="str">
        <f>tabIdiomas26[[#This Row],[Cadena]]</f>
        <v>GASTOS: Gastos en Servizos Exteriores (Excl. Outros Servicios)</v>
      </c>
    </row>
    <row r="97" spans="1:5" ht="36.75" customHeight="1" x14ac:dyDescent="0.35">
      <c r="A97" s="328" t="s">
        <v>338</v>
      </c>
      <c r="B97" s="327" t="s">
        <v>673</v>
      </c>
      <c r="C97" s="327" t="s">
        <v>339</v>
      </c>
      <c r="D97" s="327" t="s">
        <v>340</v>
      </c>
      <c r="E97" s="327" t="str">
        <f>tabIdiomas26[[#This Row],[Cadena]]</f>
        <v>Arrendamentos e Cánones (Aluguer terreos)</v>
      </c>
    </row>
    <row r="98" spans="1:5" ht="29" x14ac:dyDescent="0.35">
      <c r="A98" s="328" t="s">
        <v>341</v>
      </c>
      <c r="B98" s="327" t="s">
        <v>674</v>
      </c>
      <c r="C98" s="327" t="s">
        <v>342</v>
      </c>
      <c r="D98" s="327" t="s">
        <v>343</v>
      </c>
      <c r="E98" s="327" t="str">
        <f>tabIdiomas26[[#This Row],[Cadena]]</f>
        <v>Reparacións e Mantemento das Instalacións</v>
      </c>
    </row>
    <row r="99" spans="1:5" x14ac:dyDescent="0.35">
      <c r="A99" s="328" t="s">
        <v>344</v>
      </c>
      <c r="B99" s="327" t="s">
        <v>675</v>
      </c>
      <c r="C99" s="327" t="s">
        <v>345</v>
      </c>
      <c r="D99" s="327" t="s">
        <v>346</v>
      </c>
      <c r="E99" s="327" t="str">
        <f>tabIdiomas26[[#This Row],[Cadena]]</f>
        <v>Reparación das Instalacións</v>
      </c>
    </row>
    <row r="100" spans="1:5" x14ac:dyDescent="0.35">
      <c r="A100" s="328" t="s">
        <v>347</v>
      </c>
      <c r="B100" s="327" t="s">
        <v>676</v>
      </c>
      <c r="C100" s="327" t="s">
        <v>348</v>
      </c>
      <c r="D100" s="327" t="s">
        <v>349</v>
      </c>
      <c r="E100" s="327" t="str">
        <f>tabIdiomas26[[#This Row],[Cadena]]</f>
        <v>Mantemento das Instalacións</v>
      </c>
    </row>
    <row r="101" spans="1:5" ht="43.5" x14ac:dyDescent="0.35">
      <c r="A101" s="328" t="s">
        <v>350</v>
      </c>
      <c r="B101" s="327" t="s">
        <v>677</v>
      </c>
      <c r="C101" s="327" t="s">
        <v>351</v>
      </c>
      <c r="D101" s="327" t="s">
        <v>352</v>
      </c>
      <c r="E101" s="327" t="str">
        <f>tabIdiomas26[[#This Row],[Cadena]]</f>
        <v>Servicios de Profesionais Indep. (Notarios, Avogados, Rexistradores, Economistas, Asesores, etc.)</v>
      </c>
    </row>
    <row r="102" spans="1:5" x14ac:dyDescent="0.35">
      <c r="A102" s="328" t="s">
        <v>353</v>
      </c>
      <c r="B102" s="327" t="s">
        <v>678</v>
      </c>
      <c r="C102" s="327" t="s">
        <v>354</v>
      </c>
      <c r="D102" s="327" t="s">
        <v>355</v>
      </c>
      <c r="E102" s="327" t="str">
        <f>tabIdiomas26[[#This Row],[Cadena]]</f>
        <v>Gastos de Notaría e Rexistro</v>
      </c>
    </row>
    <row r="103" spans="1:5" ht="28.5" customHeight="1" x14ac:dyDescent="0.35">
      <c r="A103" s="328" t="s">
        <v>356</v>
      </c>
      <c r="B103" s="327" t="s">
        <v>680</v>
      </c>
      <c r="C103" s="327" t="s">
        <v>357</v>
      </c>
      <c r="D103" s="327" t="s">
        <v>358</v>
      </c>
      <c r="E103" s="327" t="str">
        <f>tabIdiomas26[[#This Row],[Cadena]]</f>
        <v>Gastos de Asesoría Xurídica</v>
      </c>
    </row>
    <row r="104" spans="1:5" ht="34.5" customHeight="1" x14ac:dyDescent="0.35">
      <c r="A104" s="328" t="s">
        <v>359</v>
      </c>
      <c r="B104" s="327" t="s">
        <v>360</v>
      </c>
      <c r="C104" s="327" t="s">
        <v>361</v>
      </c>
      <c r="D104" s="327" t="s">
        <v>362</v>
      </c>
      <c r="E104" s="327" t="str">
        <f>tabIdiomas26[[#This Row],[Cadena]]</f>
        <v>Gastos de Asesoramento Económico-Financeiro</v>
      </c>
    </row>
    <row r="105" spans="1:5" x14ac:dyDescent="0.35">
      <c r="A105" s="328" t="s">
        <v>363</v>
      </c>
      <c r="B105" s="327" t="s">
        <v>687</v>
      </c>
      <c r="C105" s="327" t="s">
        <v>364</v>
      </c>
      <c r="D105" s="327" t="s">
        <v>365</v>
      </c>
      <c r="E105" s="327" t="str">
        <f>tabIdiomas26[[#This Row],[Cadena]]</f>
        <v>Gastos de Asesoramento Técnico (Enxeñería)</v>
      </c>
    </row>
    <row r="106" spans="1:5" x14ac:dyDescent="0.35">
      <c r="A106" s="328" t="s">
        <v>366</v>
      </c>
      <c r="B106" s="327" t="s">
        <v>367</v>
      </c>
      <c r="C106" s="327" t="s">
        <v>368</v>
      </c>
      <c r="D106" s="327" t="s">
        <v>366</v>
      </c>
      <c r="E106" s="327" t="str">
        <f>tabIdiomas26[[#This Row],[Cadena]]</f>
        <v>Fórmula Desindexación</v>
      </c>
    </row>
    <row r="107" spans="1:5" x14ac:dyDescent="0.35">
      <c r="A107" s="328" t="s">
        <v>369</v>
      </c>
      <c r="B107" s="327" t="s">
        <v>370</v>
      </c>
      <c r="C107" s="327" t="s">
        <v>371</v>
      </c>
      <c r="D107" s="327" t="s">
        <v>369</v>
      </c>
      <c r="E107" s="327" t="str">
        <f>tabIdiomas26[[#This Row],[Cadena]]</f>
        <v>% Anual</v>
      </c>
    </row>
    <row r="108" spans="1:5" ht="29" x14ac:dyDescent="0.35">
      <c r="A108" s="328" t="s">
        <v>372</v>
      </c>
      <c r="B108" s="327" t="s">
        <v>373</v>
      </c>
      <c r="C108" s="327" t="s">
        <v>374</v>
      </c>
      <c r="D108" s="327" t="s">
        <v>375</v>
      </c>
      <c r="E108" s="327" t="str">
        <f>tabIdiomas26[[#This Row],[Cadena]]</f>
        <v>Taxa para a Actualización Salarios Sector (= IPC)</v>
      </c>
    </row>
    <row r="109" spans="1:5" ht="29" x14ac:dyDescent="0.35">
      <c r="A109" s="328" t="s">
        <v>376</v>
      </c>
      <c r="B109" s="327" t="s">
        <v>377</v>
      </c>
      <c r="C109" s="327" t="s">
        <v>378</v>
      </c>
      <c r="D109" s="327" t="s">
        <v>379</v>
      </c>
      <c r="E109" s="327" t="str">
        <f>tabIdiomas26[[#This Row],[Cadena]]</f>
        <v>Taxa para a Actualización do Custo da Enerxía</v>
      </c>
    </row>
    <row r="110" spans="1:5" ht="29" x14ac:dyDescent="0.35">
      <c r="A110" s="328" t="s">
        <v>380</v>
      </c>
      <c r="B110" s="327" t="s">
        <v>381</v>
      </c>
      <c r="C110" s="327" t="s">
        <v>382</v>
      </c>
      <c r="D110" s="327" t="s">
        <v>383</v>
      </c>
      <c r="E110" s="327" t="str">
        <f>tabIdiomas26[[#This Row],[Cadena]]</f>
        <v>Taxa para a Actualización dos Gastos de Explotación Xerais</v>
      </c>
    </row>
    <row r="111" spans="1:5" ht="29" x14ac:dyDescent="0.35">
      <c r="A111" s="328" t="s">
        <v>384</v>
      </c>
      <c r="B111" s="327" t="s">
        <v>385</v>
      </c>
      <c r="C111" s="327" t="s">
        <v>386</v>
      </c>
      <c r="D111" s="327" t="s">
        <v>387</v>
      </c>
      <c r="E111" s="327" t="str">
        <f>tabIdiomas26[[#This Row],[Cadena]]</f>
        <v>Taxa para a Actualización de 'Outros Gastos de Explotación'</v>
      </c>
    </row>
    <row r="112" spans="1:5" ht="29" x14ac:dyDescent="0.35">
      <c r="A112" s="328" t="s">
        <v>388</v>
      </c>
      <c r="B112" s="327" t="s">
        <v>389</v>
      </c>
      <c r="C112" s="327" t="s">
        <v>390</v>
      </c>
      <c r="D112" s="327" t="s">
        <v>391</v>
      </c>
      <c r="E112" s="327" t="str">
        <f>tabIdiomas26[[#This Row],[Cadena]]</f>
        <v>Taxa de Variación do importe máximo das tarifas</v>
      </c>
    </row>
    <row r="113" spans="1:5" x14ac:dyDescent="0.35">
      <c r="A113" s="328" t="s">
        <v>392</v>
      </c>
      <c r="B113" s="327" t="s">
        <v>692</v>
      </c>
      <c r="C113" s="327" t="s">
        <v>393</v>
      </c>
      <c r="D113" s="327" t="s">
        <v>392</v>
      </c>
      <c r="E113" s="327" t="str">
        <f>tabIdiomas26[[#This Row],[Cadena]]</f>
        <v>Transportes</v>
      </c>
    </row>
    <row r="114" spans="1:5" ht="29" x14ac:dyDescent="0.35">
      <c r="A114" s="328" t="s">
        <v>394</v>
      </c>
      <c r="B114" s="327" t="s">
        <v>694</v>
      </c>
      <c r="C114" s="327" t="s">
        <v>395</v>
      </c>
      <c r="D114" s="327" t="s">
        <v>396</v>
      </c>
      <c r="E114" s="327" t="str">
        <f>tabIdiomas26[[#This Row],[Cadena]]</f>
        <v>Primas de Seguros (% do Investimento Inicial, Anual)</v>
      </c>
    </row>
    <row r="115" spans="1:5" x14ac:dyDescent="0.35">
      <c r="A115" s="328" t="s">
        <v>397</v>
      </c>
      <c r="B115" s="327" t="s">
        <v>398</v>
      </c>
      <c r="C115" s="327" t="s">
        <v>399</v>
      </c>
      <c r="D115" s="327" t="s">
        <v>400</v>
      </c>
      <c r="E115" s="327" t="str">
        <f>tabIdiomas26[[#This Row],[Cadena]]</f>
        <v>Servizos Bancarios</v>
      </c>
    </row>
    <row r="116" spans="1:5" x14ac:dyDescent="0.35">
      <c r="A116" s="328" t="s">
        <v>401</v>
      </c>
      <c r="B116" s="327" t="s">
        <v>697</v>
      </c>
      <c r="C116" s="327" t="s">
        <v>1694</v>
      </c>
      <c r="D116" s="327" t="s">
        <v>403</v>
      </c>
      <c r="E116" s="327" t="str">
        <f>tabIdiomas26[[#This Row],[Cadena]]</f>
        <v>Publicidade, Propaganda e RR.PP.</v>
      </c>
    </row>
    <row r="117" spans="1:5" x14ac:dyDescent="0.35">
      <c r="A117" s="328" t="s">
        <v>404</v>
      </c>
      <c r="B117" s="327" t="s">
        <v>698</v>
      </c>
      <c r="C117" s="327" t="s">
        <v>405</v>
      </c>
      <c r="D117" s="327" t="s">
        <v>406</v>
      </c>
      <c r="E117" s="327" t="str">
        <f>tabIdiomas26[[#This Row],[Cadena]]</f>
        <v>Material e Actividades Publicitarias</v>
      </c>
    </row>
    <row r="118" spans="1:5" x14ac:dyDescent="0.35">
      <c r="A118" s="328" t="s">
        <v>407</v>
      </c>
      <c r="B118" s="327" t="s">
        <v>699</v>
      </c>
      <c r="C118" s="327" t="s">
        <v>408</v>
      </c>
      <c r="D118" s="327" t="s">
        <v>407</v>
      </c>
      <c r="E118" s="327" t="str">
        <f>tabIdiomas26[[#This Row],[Cadena]]</f>
        <v>Actividades de Promoción</v>
      </c>
    </row>
    <row r="119" spans="1:5" x14ac:dyDescent="0.35">
      <c r="A119" s="328" t="s">
        <v>409</v>
      </c>
      <c r="B119" s="327" t="s">
        <v>410</v>
      </c>
      <c r="C119" s="327" t="s">
        <v>411</v>
      </c>
      <c r="D119" s="327" t="s">
        <v>412</v>
      </c>
      <c r="E119" s="327" t="str">
        <f>tabIdiomas26[[#This Row],[Cadena]]</f>
        <v>Relacións Públicas</v>
      </c>
    </row>
    <row r="120" spans="1:5" x14ac:dyDescent="0.35">
      <c r="A120" s="328" t="s">
        <v>413</v>
      </c>
      <c r="B120" s="327" t="s">
        <v>700</v>
      </c>
      <c r="C120" s="327" t="s">
        <v>414</v>
      </c>
      <c r="D120" s="327" t="s">
        <v>415</v>
      </c>
      <c r="E120" s="327" t="str">
        <f>tabIdiomas26[[#This Row],[Cadena]]</f>
        <v>Subministros</v>
      </c>
    </row>
    <row r="121" spans="1:5" x14ac:dyDescent="0.35">
      <c r="A121" s="328" t="s">
        <v>416</v>
      </c>
      <c r="B121" s="327" t="s">
        <v>701</v>
      </c>
      <c r="C121" s="327" t="s">
        <v>417</v>
      </c>
      <c r="D121" s="327" t="s">
        <v>418</v>
      </c>
      <c r="E121" s="327" t="str">
        <f>tabIdiomas26[[#This Row],[Cadena]]</f>
        <v>Telefonía Fixa e/ou Móbil</v>
      </c>
    </row>
    <row r="122" spans="1:5" x14ac:dyDescent="0.35">
      <c r="A122" s="328" t="s">
        <v>419</v>
      </c>
      <c r="B122" s="327" t="s">
        <v>702</v>
      </c>
      <c r="C122" s="327" t="s">
        <v>420</v>
      </c>
      <c r="D122" s="327" t="s">
        <v>419</v>
      </c>
      <c r="E122" s="327" t="str">
        <f>tabIdiomas26[[#This Row],[Cadena]]</f>
        <v>Conexión a Internet</v>
      </c>
    </row>
    <row r="123" spans="1:5" ht="29" x14ac:dyDescent="0.35">
      <c r="A123" s="328" t="s">
        <v>421</v>
      </c>
      <c r="B123" s="327" t="s">
        <v>703</v>
      </c>
      <c r="C123" s="327" t="s">
        <v>422</v>
      </c>
      <c r="D123" s="327" t="s">
        <v>423</v>
      </c>
      <c r="E123" s="327" t="str">
        <f>tabIdiomas26[[#This Row],[Cadena]]</f>
        <v>Subministro de Electricidade (Termo de Potencia)</v>
      </c>
    </row>
    <row r="124" spans="1:5" ht="29" x14ac:dyDescent="0.35">
      <c r="A124" s="328" t="s">
        <v>424</v>
      </c>
      <c r="B124" s="327" t="s">
        <v>704</v>
      </c>
      <c r="C124" s="327" t="s">
        <v>425</v>
      </c>
      <c r="D124" s="327" t="s">
        <v>426</v>
      </c>
      <c r="E124" s="327" t="str">
        <f>tabIdiomas26[[#This Row],[Cadena]]</f>
        <v>Subministro de Electricidade (Termo de Enerxía e Outros)</v>
      </c>
    </row>
    <row r="125" spans="1:5" x14ac:dyDescent="0.35">
      <c r="A125" s="328" t="s">
        <v>427</v>
      </c>
      <c r="B125" s="327" t="s">
        <v>428</v>
      </c>
      <c r="C125" s="327" t="s">
        <v>429</v>
      </c>
      <c r="D125" s="327" t="s">
        <v>430</v>
      </c>
      <c r="E125" s="327" t="str">
        <f>tabIdiomas26[[#This Row],[Cadena]]</f>
        <v>Subministro de Auga Corrente</v>
      </c>
    </row>
    <row r="126" spans="1:5" ht="29" x14ac:dyDescent="0.35">
      <c r="A126" s="328" t="s">
        <v>431</v>
      </c>
      <c r="B126" s="327" t="s">
        <v>705</v>
      </c>
      <c r="C126" s="327" t="s">
        <v>432</v>
      </c>
      <c r="D126" s="327" t="s">
        <v>433</v>
      </c>
      <c r="E126" s="327" t="str">
        <f>tabIdiomas26[[#This Row],[Cadena]]</f>
        <v>Necesidade de Conexión a Internet, Propia (Si/Non)</v>
      </c>
    </row>
    <row r="127" spans="1:5" ht="43.5" x14ac:dyDescent="0.35">
      <c r="A127" s="328" t="s">
        <v>434</v>
      </c>
      <c r="B127" s="327" t="s">
        <v>435</v>
      </c>
      <c r="C127" s="327" t="s">
        <v>436</v>
      </c>
      <c r="D127" s="327" t="s">
        <v>437</v>
      </c>
      <c r="E127" s="327" t="str">
        <f>tabIdiomas26[[#This Row],[Cadena]]</f>
        <v>Outras Eventuais Percepcións dos Socios, procedentes da CE, Distintas da Enerxía Producida</v>
      </c>
    </row>
    <row r="128" spans="1:5" x14ac:dyDescent="0.35">
      <c r="A128" s="328" t="s">
        <v>438</v>
      </c>
      <c r="B128" s="327" t="s">
        <v>439</v>
      </c>
      <c r="C128" s="327" t="s">
        <v>440</v>
      </c>
      <c r="D128" s="327" t="s">
        <v>441</v>
      </c>
      <c r="E128" s="327" t="str">
        <f>tabIdiomas26[[#This Row],[Cadena]]</f>
        <v>Valor Anual Conxunto de Socios (€)</v>
      </c>
    </row>
    <row r="129" spans="1:5" ht="43.5" x14ac:dyDescent="0.35">
      <c r="A129" s="328" t="s">
        <v>442</v>
      </c>
      <c r="B129" s="327" t="s">
        <v>443</v>
      </c>
      <c r="C129" s="327" t="s">
        <v>444</v>
      </c>
      <c r="D129" s="327" t="s">
        <v>445</v>
      </c>
      <c r="E129" s="327" t="str">
        <f>tabIdiomas26[[#This Row],[Cadena]]</f>
        <v>Ingresos por Prestación Gratuíta de Outros Servizos pola Entidade Xestora da Iniciativa Comunitaria</v>
      </c>
    </row>
    <row r="130" spans="1:5" ht="29" x14ac:dyDescent="0.35">
      <c r="A130" s="328" t="s">
        <v>446</v>
      </c>
      <c r="B130" s="327" t="s">
        <v>447</v>
      </c>
      <c r="C130" s="327" t="s">
        <v>448</v>
      </c>
      <c r="D130" s="327" t="s">
        <v>449</v>
      </c>
      <c r="E130" s="327" t="str">
        <f>tabIdiomas26[[#This Row],[Cadena]]</f>
        <v>Outros Ingresos Percibidos da Entidade Xestora da Iniciativa Comunitaria</v>
      </c>
    </row>
    <row r="131" spans="1:5" ht="29" x14ac:dyDescent="0.35">
      <c r="A131" s="328" t="s">
        <v>450</v>
      </c>
      <c r="B131" s="327" t="s">
        <v>451</v>
      </c>
      <c r="C131" s="327" t="s">
        <v>452</v>
      </c>
      <c r="D131" s="327" t="s">
        <v>453</v>
      </c>
      <c r="E131" s="327" t="str">
        <f>tabIdiomas26[[#This Row],[Cadena]]</f>
        <v>Axuste de Exclusiva Aplicación para o Cálculo do Estado de Fluxos de Efectivo (EFE)</v>
      </c>
    </row>
    <row r="132" spans="1:5" ht="43.5" x14ac:dyDescent="0.35">
      <c r="A132" s="328" t="s">
        <v>454</v>
      </c>
      <c r="B132" s="327" t="s">
        <v>455</v>
      </c>
      <c r="C132" s="327" t="s">
        <v>456</v>
      </c>
      <c r="D132" s="327" t="s">
        <v>457</v>
      </c>
      <c r="E132" s="327" t="str">
        <f>tabIdiomas26[[#This Row],[Cadena]]</f>
        <v>Inclusión do Valor da Enerxía Producida como Ingreso que Xera Fluxo de Efectivo (Si/Non)</v>
      </c>
    </row>
    <row r="133" spans="1:5" ht="43.5" x14ac:dyDescent="0.35">
      <c r="A133" s="328" t="s">
        <v>458</v>
      </c>
      <c r="B133" s="327" t="s">
        <v>459</v>
      </c>
      <c r="C133" s="327" t="s">
        <v>460</v>
      </c>
      <c r="D133" s="327" t="s">
        <v>461</v>
      </c>
      <c r="E133" s="327" t="str">
        <f>tabIdiomas26[[#This Row],[Cadena]]</f>
        <v>Determinación da Enerxía Xerada (KWh) por KWp Ao Ano</v>
      </c>
    </row>
    <row r="134" spans="1:5" ht="29" x14ac:dyDescent="0.35">
      <c r="A134" s="328" t="s">
        <v>462</v>
      </c>
      <c r="B134" s="327" t="s">
        <v>463</v>
      </c>
      <c r="C134" s="327" t="s">
        <v>464</v>
      </c>
      <c r="D134" s="327" t="s">
        <v>465</v>
      </c>
      <c r="E134" s="327" t="str">
        <f>tabIdiomas26[[#This Row],[Cadena]]</f>
        <v>Determinación do Consumo Mensual (KWh) do Socio Promedio Tipo</v>
      </c>
    </row>
    <row r="135" spans="1:5" x14ac:dyDescent="0.35">
      <c r="A135" s="328" t="s">
        <v>9</v>
      </c>
      <c r="B135" s="327" t="s">
        <v>466</v>
      </c>
      <c r="C135" s="327" t="s">
        <v>9</v>
      </c>
      <c r="D135" s="327" t="s">
        <v>9</v>
      </c>
      <c r="E135" s="327" t="str">
        <f>tabIdiomas26[[#This Row],[Cadena]]</f>
        <v>Manual</v>
      </c>
    </row>
    <row r="136" spans="1:5" x14ac:dyDescent="0.35">
      <c r="A136" s="328" t="s">
        <v>467</v>
      </c>
      <c r="B136" s="327" t="s">
        <v>468</v>
      </c>
      <c r="C136" s="327" t="s">
        <v>469</v>
      </c>
      <c r="D136" s="327" t="s">
        <v>470</v>
      </c>
      <c r="E136" s="327" t="str">
        <f>tabIdiomas26[[#This Row],[Cadena]]</f>
        <v>Automática (Só Galicia)</v>
      </c>
    </row>
    <row r="137" spans="1:5" ht="43.5" x14ac:dyDescent="0.35">
      <c r="A137" s="328" t="s">
        <v>471</v>
      </c>
      <c r="B137" s="327" t="s">
        <v>472</v>
      </c>
      <c r="C137" s="327" t="s">
        <v>473</v>
      </c>
      <c r="D137" s="327" t="s">
        <v>474</v>
      </c>
      <c r="E137" s="327" t="str">
        <f>tabIdiomas26[[#This Row],[Cadena]]</f>
        <v>Enerxía Xerada (KWh) por KWp de Potencia Instalada ao Ano (Determinación Manual)</v>
      </c>
    </row>
    <row r="138" spans="1:5" ht="29" x14ac:dyDescent="0.35">
      <c r="A138" s="328" t="s">
        <v>475</v>
      </c>
      <c r="B138" s="327" t="s">
        <v>476</v>
      </c>
      <c r="C138" s="327" t="s">
        <v>477</v>
      </c>
      <c r="D138" s="327" t="s">
        <v>478</v>
      </c>
      <c r="E138" s="327" t="str">
        <f>tabIdiomas26[[#This Row],[Cadena]]</f>
        <v>Consumo Eléctrico Mensual (KWh) do Socio Promedio Tipo (Determinación Manual)</v>
      </c>
    </row>
    <row r="139" spans="1:5" ht="29" x14ac:dyDescent="0.35">
      <c r="A139" s="328" t="s">
        <v>479</v>
      </c>
      <c r="B139" s="327" t="s">
        <v>706</v>
      </c>
      <c r="C139" s="327" t="s">
        <v>480</v>
      </c>
      <c r="D139" s="327" t="s">
        <v>481</v>
      </c>
      <c r="E139" s="327" t="str">
        <f>tabIdiomas26[[#This Row],[Cadena]]</f>
        <v>Desglose de Gastos en Asesoramento e Xestoría (Outros Servizos)</v>
      </c>
    </row>
    <row r="140" spans="1:5" x14ac:dyDescent="0.35">
      <c r="A140" s="328" t="s">
        <v>482</v>
      </c>
      <c r="B140" s="327" t="s">
        <v>483</v>
      </c>
      <c r="C140" s="327" t="s">
        <v>484</v>
      </c>
      <c r="D140" s="327" t="s">
        <v>485</v>
      </c>
      <c r="E140" s="327" t="str">
        <f>tabIdiomas26[[#This Row],[Cadena]]</f>
        <v>Xestión da Entidade (Ata 25 Socios)</v>
      </c>
    </row>
    <row r="141" spans="1:5" x14ac:dyDescent="0.35">
      <c r="A141" s="328" t="s">
        <v>486</v>
      </c>
      <c r="B141" s="327" t="s">
        <v>709</v>
      </c>
      <c r="C141" s="327" t="s">
        <v>487</v>
      </c>
      <c r="D141" s="327" t="s">
        <v>486</v>
      </c>
      <c r="E141" s="327" t="str">
        <f>tabIdiomas26[[#This Row],[Cadena]]</f>
        <v>Monitoring Socios</v>
      </c>
    </row>
    <row r="142" spans="1:5" ht="43.5" x14ac:dyDescent="0.35">
      <c r="A142" s="328" t="s">
        <v>488</v>
      </c>
      <c r="B142" s="327" t="s">
        <v>710</v>
      </c>
      <c r="C142" s="327" t="s">
        <v>489</v>
      </c>
      <c r="D142" s="327" t="s">
        <v>490</v>
      </c>
      <c r="E142" s="327" t="str">
        <f>tabIdiomas26[[#This Row],[Cadena]]</f>
        <v>Asesoramento Contable, Fiscal e Outros</v>
      </c>
    </row>
    <row r="143" spans="1:5" x14ac:dyDescent="0.35">
      <c r="A143" s="328" t="s">
        <v>491</v>
      </c>
      <c r="B143" s="327" t="s">
        <v>707</v>
      </c>
      <c r="C143" s="327" t="s">
        <v>492</v>
      </c>
      <c r="D143" s="327" t="s">
        <v>491</v>
      </c>
      <c r="E143" s="327" t="str">
        <f>tabIdiomas26[[#This Row],[Cadena]]</f>
        <v>Imp. Mens. Por Socio (€)</v>
      </c>
    </row>
    <row r="144" spans="1:5" x14ac:dyDescent="0.35">
      <c r="A144" s="328" t="s">
        <v>493</v>
      </c>
      <c r="B144" s="327" t="s">
        <v>708</v>
      </c>
      <c r="C144" s="327" t="s">
        <v>494</v>
      </c>
      <c r="D144" s="327" t="s">
        <v>493</v>
      </c>
      <c r="E144" s="327" t="str">
        <f>tabIdiomas26[[#This Row],[Cadena]]</f>
        <v>Importe Mensual (€)</v>
      </c>
    </row>
    <row r="145" spans="1:5" ht="58" x14ac:dyDescent="0.35">
      <c r="A145" s="328" t="s">
        <v>495</v>
      </c>
      <c r="B145" s="327" t="s">
        <v>711</v>
      </c>
      <c r="C145" s="327" t="s">
        <v>496</v>
      </c>
      <c r="D145" s="327" t="s">
        <v>497</v>
      </c>
      <c r="E145" s="327" t="str">
        <f>tabIdiomas26[[#This Row],[Cadena]]</f>
        <v>Aplicabilidade do Epígrafe de Gasto 'Gastos Xerais Non Incluídos en Epígrafes Previos' (Mín. Outros Servizos = 5% s/ Cifra de Negocios)</v>
      </c>
    </row>
    <row r="146" spans="1:5" ht="29" x14ac:dyDescent="0.35">
      <c r="A146" s="328" t="s">
        <v>498</v>
      </c>
      <c r="B146" s="327" t="s">
        <v>712</v>
      </c>
      <c r="C146" s="327" t="s">
        <v>499</v>
      </c>
      <c r="D146" s="327" t="s">
        <v>500</v>
      </c>
      <c r="E146" s="327" t="str">
        <f>tabIdiomas26[[#This Row],[Cadena]]</f>
        <v>Amortización Considerada Como Custo (Si/Non)</v>
      </c>
    </row>
    <row r="147" spans="1:5" ht="43.5" x14ac:dyDescent="0.35">
      <c r="A147" s="328" t="s">
        <v>501</v>
      </c>
      <c r="B147" s="327" t="s">
        <v>713</v>
      </c>
      <c r="C147" s="327" t="s">
        <v>502</v>
      </c>
      <c r="D147" s="327" t="s">
        <v>503</v>
      </c>
      <c r="E147" s="327" t="str">
        <f>tabIdiomas26[[#This Row],[Cadena]]</f>
        <v>Garantías, Taxas Autonómicas, Municipais e Outras Obrigas Tributarias</v>
      </c>
    </row>
    <row r="148" spans="1:5" ht="43.5" x14ac:dyDescent="0.35">
      <c r="A148" s="328" t="s">
        <v>504</v>
      </c>
      <c r="B148" s="327" t="s">
        <v>717</v>
      </c>
      <c r="C148" s="327" t="s">
        <v>505</v>
      </c>
      <c r="D148" s="327" t="s">
        <v>506</v>
      </c>
      <c r="E148" s="327" t="str">
        <f>tabIdiomas26[[#This Row],[Cadena]]</f>
        <v>Garantía Económica para Tramitación da Solicitude de Acceso e Conexión á Rede (40€/KW)</v>
      </c>
    </row>
    <row r="149" spans="1:5" ht="43.5" x14ac:dyDescent="0.35">
      <c r="A149" s="328" t="s">
        <v>507</v>
      </c>
      <c r="B149" s="327" t="s">
        <v>718</v>
      </c>
      <c r="C149" s="327" t="s">
        <v>508</v>
      </c>
      <c r="D149" s="327" t="s">
        <v>509</v>
      </c>
      <c r="E149" s="327" t="str">
        <f>tabIdiomas26[[#This Row],[Cadena]]</f>
        <v>Taxa Autonómica por Inscrición en Rexistros Oficiais -Primeira Inscrición- (30.02.00 Anexo 1)</v>
      </c>
    </row>
    <row r="150" spans="1:5" ht="29" x14ac:dyDescent="0.35">
      <c r="A150" s="328" t="s">
        <v>510</v>
      </c>
      <c r="B150" s="327" t="s">
        <v>719</v>
      </c>
      <c r="C150" s="327" t="s">
        <v>511</v>
      </c>
      <c r="D150" s="327" t="s">
        <v>512</v>
      </c>
      <c r="E150" s="327" t="str">
        <f>tabIdiomas26[[#This Row],[Cadena]]</f>
        <v>Taxa por Licencia Urbanística (Municipal)</v>
      </c>
    </row>
    <row r="151" spans="1:5" ht="29" x14ac:dyDescent="0.35">
      <c r="A151" s="328" t="s">
        <v>513</v>
      </c>
      <c r="B151" s="327" t="s">
        <v>720</v>
      </c>
      <c r="C151" s="327" t="s">
        <v>514</v>
      </c>
      <c r="D151" s="327" t="s">
        <v>515</v>
      </c>
      <c r="E151" s="327" t="str">
        <f>tabIdiomas26[[#This Row],[Cadena]]</f>
        <v>Imposto sobre Construccións, Instalacións e Obras</v>
      </c>
    </row>
    <row r="152" spans="1:5" x14ac:dyDescent="0.35">
      <c r="A152" s="328" t="s">
        <v>516</v>
      </c>
      <c r="B152" s="327" t="s">
        <v>721</v>
      </c>
      <c r="C152" s="327" t="s">
        <v>517</v>
      </c>
      <c r="D152" s="327" t="s">
        <v>518</v>
      </c>
      <c r="E152" s="327" t="str">
        <f>tabIdiomas26[[#This Row],[Cadena]]</f>
        <v>Taxa por Obtención de Licencia de Actividade</v>
      </c>
    </row>
    <row r="153" spans="1:5" x14ac:dyDescent="0.35">
      <c r="A153" s="328" t="s">
        <v>519</v>
      </c>
      <c r="B153" s="327" t="s">
        <v>722</v>
      </c>
      <c r="C153" s="327" t="s">
        <v>520</v>
      </c>
      <c r="D153" s="327" t="s">
        <v>521</v>
      </c>
      <c r="E153" s="327" t="str">
        <f>tabIdiomas26[[#This Row],[Cadena]]</f>
        <v>Outras Obrigas Tributarias</v>
      </c>
    </row>
    <row r="154" spans="1:5" ht="58" x14ac:dyDescent="0.35">
      <c r="A154" s="328" t="s">
        <v>522</v>
      </c>
      <c r="B154" s="327" t="s">
        <v>523</v>
      </c>
      <c r="C154" s="327" t="s">
        <v>524</v>
      </c>
      <c r="D154" s="327" t="s">
        <v>525</v>
      </c>
      <c r="E154" s="327" t="str">
        <f>tabIdiomas26[[#This Row],[Cadena]]</f>
        <v>Comprobacións Introdución Manual de Ratio de Produción e de Consumo do Socio Tipo cando a instalación NON se atopa en Galicia</v>
      </c>
    </row>
    <row r="155" spans="1:5" x14ac:dyDescent="0.35">
      <c r="A155" s="328" t="s">
        <v>526</v>
      </c>
      <c r="B155" s="327" t="s">
        <v>527</v>
      </c>
      <c r="C155" s="327" t="s">
        <v>528</v>
      </c>
      <c r="D155" s="327" t="s">
        <v>529</v>
      </c>
      <c r="E155" s="327" t="str">
        <f>tabIdiomas26[[#This Row],[Cadena]]</f>
        <v>Prégase, NON CUBRIR:</v>
      </c>
    </row>
    <row r="156" spans="1:5" ht="43.5" x14ac:dyDescent="0.35">
      <c r="A156" s="328" t="s">
        <v>530</v>
      </c>
      <c r="B156" s="327" t="s">
        <v>531</v>
      </c>
      <c r="C156" s="327" t="s">
        <v>532</v>
      </c>
      <c r="D156" s="327" t="s">
        <v>533</v>
      </c>
      <c r="E156" s="327" t="str">
        <f>tabIdiomas26[[#This Row],[Cadena]]</f>
        <v>Introdución Manual Enerxía Xerada por KWp Instalado</v>
      </c>
    </row>
    <row r="157" spans="1:5" ht="29" x14ac:dyDescent="0.35">
      <c r="A157" s="328" t="s">
        <v>534</v>
      </c>
      <c r="B157" s="327" t="s">
        <v>535</v>
      </c>
      <c r="C157" s="327" t="s">
        <v>536</v>
      </c>
      <c r="D157" s="327" t="s">
        <v>537</v>
      </c>
      <c r="E157" s="327" t="str">
        <f>tabIdiomas26[[#This Row],[Cadena]]</f>
        <v>Introdución Manual do Consumo Mensual do Socio Tipo</v>
      </c>
    </row>
    <row r="158" spans="1:5" x14ac:dyDescent="0.35">
      <c r="A158" s="329" t="s">
        <v>538</v>
      </c>
      <c r="B158" s="327" t="s">
        <v>539</v>
      </c>
      <c r="C158" s="327" t="s">
        <v>540</v>
      </c>
      <c r="D158" s="327" t="s">
        <v>538</v>
      </c>
      <c r="E158" s="327" t="str">
        <f>tabIdiomas26[[#This Row],[Cadena]]</f>
        <v>Verificación Correcta</v>
      </c>
    </row>
    <row r="159" spans="1:5" x14ac:dyDescent="0.35">
      <c r="A159" s="329" t="s">
        <v>541</v>
      </c>
      <c r="B159" s="327" t="s">
        <v>542</v>
      </c>
      <c r="C159" s="327" t="s">
        <v>543</v>
      </c>
      <c r="D159" s="327" t="s">
        <v>544</v>
      </c>
      <c r="E159" s="327" t="str">
        <f>tabIdiomas26[[#This Row],[Cadena]]</f>
        <v>Verificación Non Aplicable</v>
      </c>
    </row>
    <row r="160" spans="1:5" x14ac:dyDescent="0.35">
      <c r="A160" s="329" t="s">
        <v>545</v>
      </c>
      <c r="B160" s="327" t="s">
        <v>546</v>
      </c>
      <c r="C160" s="327" t="s">
        <v>547</v>
      </c>
      <c r="D160" s="327" t="s">
        <v>545</v>
      </c>
      <c r="E160" s="327" t="str">
        <f>tabIdiomas26[[#This Row],[Cadena]]</f>
        <v>Verificación Errónea</v>
      </c>
    </row>
    <row r="161" spans="1:5" x14ac:dyDescent="0.35">
      <c r="A161" s="328" t="s">
        <v>548</v>
      </c>
      <c r="B161" s="327" t="s">
        <v>549</v>
      </c>
      <c r="C161" s="327" t="s">
        <v>550</v>
      </c>
      <c r="D161" s="327" t="s">
        <v>551</v>
      </c>
      <c r="E161" s="327" t="str">
        <f>tabIdiomas26[[#This Row],[Cadena]]</f>
        <v>Base Impoñible</v>
      </c>
    </row>
    <row r="162" spans="1:5" x14ac:dyDescent="0.35">
      <c r="A162" s="328" t="s">
        <v>552</v>
      </c>
      <c r="B162" s="327" t="s">
        <v>714</v>
      </c>
      <c r="C162" s="327" t="s">
        <v>553</v>
      </c>
      <c r="D162" s="327" t="s">
        <v>554</v>
      </c>
      <c r="E162" s="327" t="str">
        <f>tabIdiomas26[[#This Row],[Cadena]]</f>
        <v>Tipo de Gravame</v>
      </c>
    </row>
    <row r="163" spans="1:5" ht="29" x14ac:dyDescent="0.35">
      <c r="A163" s="328" t="s">
        <v>555</v>
      </c>
      <c r="B163" s="327" t="s">
        <v>715</v>
      </c>
      <c r="C163" s="327" t="s">
        <v>556</v>
      </c>
      <c r="D163" s="327" t="s">
        <v>557</v>
      </c>
      <c r="E163" s="327" t="str">
        <f>tabIdiomas26[[#This Row],[Cadena]]</f>
        <v>Cota Tributaria Íntegra</v>
      </c>
    </row>
    <row r="164" spans="1:5" ht="29" x14ac:dyDescent="0.35">
      <c r="A164" s="328" t="s">
        <v>558</v>
      </c>
      <c r="B164" s="327" t="s">
        <v>716</v>
      </c>
      <c r="C164" s="327" t="s">
        <v>559</v>
      </c>
      <c r="D164" s="327" t="s">
        <v>560</v>
      </c>
      <c r="E164" s="327" t="str">
        <f>tabIdiomas26[[#This Row],[Cadena]]</f>
        <v>Deduc. Ou Bonif. sobre a Cota</v>
      </c>
    </row>
    <row r="165" spans="1:5" x14ac:dyDescent="0.35">
      <c r="A165" s="328" t="s">
        <v>561</v>
      </c>
      <c r="B165" s="327" t="s">
        <v>562</v>
      </c>
      <c r="C165" s="327" t="s">
        <v>563</v>
      </c>
      <c r="D165" s="327" t="s">
        <v>564</v>
      </c>
      <c r="E165" s="327" t="str">
        <f>tabIdiomas26[[#This Row],[Cadena]]</f>
        <v>Aplicabilidade</v>
      </c>
    </row>
    <row r="166" spans="1:5" ht="29" x14ac:dyDescent="0.35">
      <c r="A166" s="328" t="s">
        <v>565</v>
      </c>
      <c r="B166" s="327" t="s">
        <v>723</v>
      </c>
      <c r="C166" s="327" t="s">
        <v>566</v>
      </c>
      <c r="D166" s="327" t="s">
        <v>567</v>
      </c>
      <c r="E166" s="327" t="str">
        <f>tabIdiomas26[[#This Row],[Cadena]]</f>
        <v>Outras Perdas en Xestión Corrente</v>
      </c>
    </row>
    <row r="167" spans="1:5" x14ac:dyDescent="0.35">
      <c r="A167" s="328" t="s">
        <v>568</v>
      </c>
      <c r="B167" s="327" t="s">
        <v>569</v>
      </c>
      <c r="C167" s="327" t="s">
        <v>570</v>
      </c>
      <c r="D167" s="327" t="s">
        <v>568</v>
      </c>
      <c r="E167" s="327" t="str">
        <f>tabIdiomas26[[#This Row],[Cadena]]</f>
        <v>Concepto</v>
      </c>
    </row>
    <row r="168" spans="1:5" x14ac:dyDescent="0.35">
      <c r="A168" s="328" t="s">
        <v>571</v>
      </c>
      <c r="B168" s="327" t="s">
        <v>681</v>
      </c>
      <c r="C168" s="327" t="s">
        <v>572</v>
      </c>
      <c r="D168" s="327" t="s">
        <v>573</v>
      </c>
      <c r="E168" s="327" t="str">
        <f>tabIdiomas26[[#This Row],[Cadena]]</f>
        <v>Termo de Potencia (P1)</v>
      </c>
    </row>
    <row r="169" spans="1:5" x14ac:dyDescent="0.35">
      <c r="A169" s="328" t="s">
        <v>574</v>
      </c>
      <c r="B169" s="327" t="s">
        <v>682</v>
      </c>
      <c r="C169" s="327" t="s">
        <v>575</v>
      </c>
      <c r="D169" s="327" t="s">
        <v>576</v>
      </c>
      <c r="E169" s="327" t="str">
        <f>tabIdiomas26[[#This Row],[Cadena]]</f>
        <v>Termo de Potencia (P2)</v>
      </c>
    </row>
    <row r="170" spans="1:5" ht="29" x14ac:dyDescent="0.35">
      <c r="A170" s="328" t="s">
        <v>577</v>
      </c>
      <c r="B170" s="327" t="s">
        <v>683</v>
      </c>
      <c r="C170" s="327" t="s">
        <v>578</v>
      </c>
      <c r="D170" s="327" t="s">
        <v>577</v>
      </c>
      <c r="E170" s="327" t="str">
        <f>tabIdiomas26[[#This Row],[Cadena]]</f>
        <v>Financiación Bono Social</v>
      </c>
    </row>
    <row r="171" spans="1:5" ht="29" x14ac:dyDescent="0.35">
      <c r="A171" s="328" t="s">
        <v>579</v>
      </c>
      <c r="B171" s="327" t="s">
        <v>684</v>
      </c>
      <c r="C171" s="327" t="s">
        <v>580</v>
      </c>
      <c r="D171" s="327" t="s">
        <v>581</v>
      </c>
      <c r="E171" s="327" t="str">
        <f>tabIdiomas26[[#This Row],[Cadena]]</f>
        <v>Imposto sobre a Electricidade (Tipo Habitual)</v>
      </c>
    </row>
    <row r="172" spans="1:5" ht="29" x14ac:dyDescent="0.35">
      <c r="A172" s="328" t="s">
        <v>582</v>
      </c>
      <c r="B172" s="327" t="s">
        <v>685</v>
      </c>
      <c r="C172" s="327" t="s">
        <v>583</v>
      </c>
      <c r="D172" s="327" t="s">
        <v>584</v>
      </c>
      <c r="E172" s="327" t="str">
        <f>tabIdiomas26[[#This Row],[Cadena]]</f>
        <v>Imposto sobre a Electricidade (Tipo Reducido Temporalmente)</v>
      </c>
    </row>
    <row r="173" spans="1:5" x14ac:dyDescent="0.35">
      <c r="A173" s="328" t="s">
        <v>585</v>
      </c>
      <c r="B173" s="327" t="s">
        <v>686</v>
      </c>
      <c r="C173" s="327" t="s">
        <v>586</v>
      </c>
      <c r="D173" s="327" t="s">
        <v>587</v>
      </c>
      <c r="E173" s="327" t="str">
        <f>tabIdiomas26[[#This Row],[Cadena]]</f>
        <v>Aluguer do contador</v>
      </c>
    </row>
    <row r="174" spans="1:5" x14ac:dyDescent="0.35">
      <c r="A174" s="328" t="s">
        <v>588</v>
      </c>
      <c r="B174" s="327" t="s">
        <v>618</v>
      </c>
      <c r="C174" s="327" t="s">
        <v>589</v>
      </c>
      <c r="D174" s="327" t="s">
        <v>590</v>
      </c>
      <c r="E174" s="327" t="str">
        <f>tabIdiomas26[[#This Row],[Cadena]]</f>
        <v>IVE (Tipo Habitual)</v>
      </c>
    </row>
    <row r="175" spans="1:5" x14ac:dyDescent="0.35">
      <c r="A175" s="328" t="s">
        <v>591</v>
      </c>
      <c r="B175" s="327" t="s">
        <v>688</v>
      </c>
      <c r="C175" s="327" t="s">
        <v>16</v>
      </c>
      <c r="D175" s="327" t="s">
        <v>592</v>
      </c>
      <c r="E175" s="327" t="str">
        <f>tabIdiomas26[[#This Row],[Cadena]]</f>
        <v>IVE (Tipo Reducido Electricidade)</v>
      </c>
    </row>
    <row r="176" spans="1:5" ht="29" x14ac:dyDescent="0.35">
      <c r="A176" s="328" t="s">
        <v>593</v>
      </c>
      <c r="B176" s="327" t="s">
        <v>689</v>
      </c>
      <c r="C176" s="327" t="s">
        <v>594</v>
      </c>
      <c r="D176" s="327" t="s">
        <v>595</v>
      </c>
      <c r="E176" s="327" t="str">
        <f>tabIdiomas26[[#This Row],[Cadena]]</f>
        <v>IVE (Tipo Super-Reducido Electr.)</v>
      </c>
    </row>
    <row r="177" spans="1:5" x14ac:dyDescent="0.35">
      <c r="A177" s="329" t="s">
        <v>596</v>
      </c>
      <c r="B177" s="327" t="s">
        <v>679</v>
      </c>
      <c r="C177" s="327" t="s">
        <v>597</v>
      </c>
      <c r="D177" s="327" t="s">
        <v>596</v>
      </c>
      <c r="E177" s="327" t="str">
        <f>tabIdiomas26[[#This Row],[Cadena]]</f>
        <v>Valor</v>
      </c>
    </row>
    <row r="178" spans="1:5" x14ac:dyDescent="0.35">
      <c r="A178" s="328" t="s">
        <v>598</v>
      </c>
      <c r="B178" s="327" t="s">
        <v>599</v>
      </c>
      <c r="C178" s="327" t="s">
        <v>600</v>
      </c>
      <c r="D178" s="327" t="s">
        <v>601</v>
      </c>
      <c r="E178" s="327" t="str">
        <f>tabIdiomas26[[#This Row],[Cadena]]</f>
        <v>Unidade</v>
      </c>
    </row>
    <row r="179" spans="1:5" x14ac:dyDescent="0.35">
      <c r="A179" s="328" t="s">
        <v>602</v>
      </c>
      <c r="B179" s="327" t="s">
        <v>690</v>
      </c>
      <c r="C179" s="327" t="s">
        <v>603</v>
      </c>
      <c r="D179" s="327" t="s">
        <v>604</v>
      </c>
      <c r="E179" s="327" t="str">
        <f>tabIdiomas26[[#This Row],[Cadena]]</f>
        <v>€/KW e día</v>
      </c>
    </row>
    <row r="180" spans="1:5" x14ac:dyDescent="0.35">
      <c r="A180" s="328" t="s">
        <v>605</v>
      </c>
      <c r="B180" s="327" t="s">
        <v>691</v>
      </c>
      <c r="C180" s="327" t="s">
        <v>606</v>
      </c>
      <c r="D180" s="327" t="s">
        <v>605</v>
      </c>
      <c r="E180" s="327" t="str">
        <f>tabIdiomas26[[#This Row],[Cadena]]</f>
        <v>€/día</v>
      </c>
    </row>
    <row r="181" spans="1:5" x14ac:dyDescent="0.35">
      <c r="A181" s="328" t="s">
        <v>607</v>
      </c>
      <c r="B181" s="327" t="s">
        <v>608</v>
      </c>
      <c r="C181" s="327" t="s">
        <v>609</v>
      </c>
      <c r="D181" s="327" t="s">
        <v>607</v>
      </c>
      <c r="E181" s="327" t="str">
        <f>tabIdiomas26[[#This Row],[Cadena]]</f>
        <v>% s/ Suma Conceptos Previos</v>
      </c>
    </row>
    <row r="182" spans="1:5" x14ac:dyDescent="0.35">
      <c r="A182" s="328" t="s">
        <v>610</v>
      </c>
      <c r="B182" s="327" t="s">
        <v>724</v>
      </c>
      <c r="C182" s="327" t="s">
        <v>611</v>
      </c>
      <c r="D182" s="327" t="s">
        <v>610</v>
      </c>
      <c r="E182" s="327" t="str">
        <f>tabIdiomas26[[#This Row],[Cadena]]</f>
        <v>% s/ BI (Suma Conceptos Previos)</v>
      </c>
    </row>
    <row r="183" spans="1:5" ht="29" x14ac:dyDescent="0.35">
      <c r="A183" s="329" t="s">
        <v>612</v>
      </c>
      <c r="B183" s="327" t="s">
        <v>693</v>
      </c>
      <c r="C183" s="327" t="s">
        <v>613</v>
      </c>
      <c r="D183" s="327" t="s">
        <v>612</v>
      </c>
      <c r="E183" s="327" t="str">
        <f>tabIdiomas26[[#This Row],[Cadena]]</f>
        <v>Potencia Contratada por Cada Socio Individual</v>
      </c>
    </row>
    <row r="184" spans="1:5" x14ac:dyDescent="0.35">
      <c r="A184" s="329" t="s">
        <v>614</v>
      </c>
      <c r="B184" s="327" t="s">
        <v>695</v>
      </c>
      <c r="C184" s="327" t="s">
        <v>615</v>
      </c>
      <c r="D184" s="327" t="s">
        <v>616</v>
      </c>
      <c r="E184" s="327" t="s">
        <v>617</v>
      </c>
    </row>
    <row r="185" spans="1:5" x14ac:dyDescent="0.35">
      <c r="A185" s="329" t="s">
        <v>18</v>
      </c>
      <c r="B185" s="327" t="s">
        <v>618</v>
      </c>
      <c r="C185" s="327" t="s">
        <v>589</v>
      </c>
      <c r="D185" s="327" t="s">
        <v>590</v>
      </c>
      <c r="E185" s="327" t="s">
        <v>588</v>
      </c>
    </row>
    <row r="186" spans="1:5" x14ac:dyDescent="0.35">
      <c r="A186" s="329" t="s">
        <v>19</v>
      </c>
      <c r="B186" s="327" t="s">
        <v>619</v>
      </c>
      <c r="C186" s="327" t="s">
        <v>16</v>
      </c>
      <c r="D186" s="327" t="s">
        <v>592</v>
      </c>
      <c r="E186" s="327" t="s">
        <v>591</v>
      </c>
    </row>
    <row r="187" spans="1:5" ht="29" x14ac:dyDescent="0.35">
      <c r="A187" s="329" t="s">
        <v>20</v>
      </c>
      <c r="B187" s="327" t="s">
        <v>620</v>
      </c>
      <c r="C187" s="327" t="s">
        <v>594</v>
      </c>
      <c r="D187" s="327" t="s">
        <v>595</v>
      </c>
      <c r="E187" s="327" t="s">
        <v>621</v>
      </c>
    </row>
    <row r="188" spans="1:5" x14ac:dyDescent="0.35">
      <c r="A188" s="329" t="s">
        <v>622</v>
      </c>
      <c r="B188" s="327" t="s">
        <v>622</v>
      </c>
      <c r="C188" s="327" t="s">
        <v>622</v>
      </c>
      <c r="D188" s="327" t="s">
        <v>622</v>
      </c>
      <c r="E188" s="327" t="str">
        <f>tabIdiomas26[[#This Row],[Cadena]]</f>
        <v>KW</v>
      </c>
    </row>
    <row r="189" spans="1:5" ht="29" x14ac:dyDescent="0.35">
      <c r="A189" s="329" t="s">
        <v>623</v>
      </c>
      <c r="B189" s="327" t="s">
        <v>624</v>
      </c>
      <c r="C189" s="327" t="s">
        <v>625</v>
      </c>
      <c r="D189" s="327" t="s">
        <v>626</v>
      </c>
      <c r="E189" s="327" t="str">
        <f>tabIdiomas26[[#This Row],[Cadena]]</f>
        <v>Imposto s/Electricidade Reducido? (Si / Non)</v>
      </c>
    </row>
    <row r="190" spans="1:5" ht="43.5" x14ac:dyDescent="0.35">
      <c r="A190" s="329" t="s">
        <v>627</v>
      </c>
      <c r="B190" s="327" t="s">
        <v>696</v>
      </c>
      <c r="C190" s="327" t="s">
        <v>628</v>
      </c>
      <c r="D190" s="327" t="s">
        <v>629</v>
      </c>
      <c r="E190" s="327" t="str">
        <f>tabIdiomas26[[#This Row],[Cadena]]</f>
        <v>Hipóteses Participación Heteroxénea (Distrib. Aleatoria dos Consumos)</v>
      </c>
    </row>
    <row r="191" spans="1:5" ht="29" x14ac:dyDescent="0.35">
      <c r="A191" s="329" t="s">
        <v>630</v>
      </c>
      <c r="B191" s="327" t="s">
        <v>631</v>
      </c>
      <c r="C191" s="327" t="s">
        <v>632</v>
      </c>
      <c r="D191" s="327" t="s">
        <v>630</v>
      </c>
      <c r="E191" s="327" t="str">
        <f>tabIdiomas26[[#This Row],[Cadena]]</f>
        <v>Consumo Mensual Máximo de Cada Socio Individual (KWh)</v>
      </c>
    </row>
    <row r="192" spans="1:5" ht="29" x14ac:dyDescent="0.35">
      <c r="A192" s="329" t="s">
        <v>633</v>
      </c>
      <c r="B192" s="327" t="s">
        <v>634</v>
      </c>
      <c r="C192" s="327" t="s">
        <v>635</v>
      </c>
      <c r="D192" s="327" t="s">
        <v>633</v>
      </c>
      <c r="E192" s="327" t="str">
        <f>tabIdiomas26[[#This Row],[Cadena]]</f>
        <v>Consumo Mensual Mínimo de Cada Socio Individual (KWh)</v>
      </c>
    </row>
    <row r="193" spans="1:5" x14ac:dyDescent="0.35">
      <c r="A193" s="329" t="s">
        <v>1107</v>
      </c>
      <c r="B193" s="1748" t="s">
        <v>1693</v>
      </c>
      <c r="C193" s="327" t="s">
        <v>1692</v>
      </c>
      <c r="D193" s="327" t="s">
        <v>1691</v>
      </c>
      <c r="E193" s="327" t="str">
        <f>tabIdiomas26[[#This Row],[Cadena]]</f>
        <v>Concepto Faturado</v>
      </c>
    </row>
    <row r="194" spans="1:5" x14ac:dyDescent="0.35">
      <c r="A194" s="329" t="s">
        <v>1146</v>
      </c>
      <c r="B194" s="1748" t="s">
        <v>1690</v>
      </c>
      <c r="C194" s="327" t="s">
        <v>1689</v>
      </c>
      <c r="D194" s="327" t="s">
        <v>1688</v>
      </c>
      <c r="E194" s="327" t="s">
        <v>1687</v>
      </c>
    </row>
    <row r="195" spans="1:5" x14ac:dyDescent="0.35">
      <c r="A195" s="329" t="s">
        <v>1145</v>
      </c>
      <c r="B195" s="1748" t="s">
        <v>1686</v>
      </c>
      <c r="C195" s="327" t="s">
        <v>1685</v>
      </c>
      <c r="D195" s="327" t="s">
        <v>1684</v>
      </c>
      <c r="E195" s="327" t="s">
        <v>1683</v>
      </c>
    </row>
    <row r="196" spans="1:5" x14ac:dyDescent="0.35">
      <c r="A196" s="329" t="s">
        <v>1144</v>
      </c>
      <c r="B196" s="1748" t="s">
        <v>1682</v>
      </c>
      <c r="C196" s="327" t="s">
        <v>1681</v>
      </c>
      <c r="D196" s="327" t="s">
        <v>1144</v>
      </c>
      <c r="E196" s="327" t="s">
        <v>1680</v>
      </c>
    </row>
    <row r="197" spans="1:5" x14ac:dyDescent="0.35">
      <c r="A197" s="329" t="s">
        <v>1147</v>
      </c>
      <c r="B197" s="1748" t="s">
        <v>1679</v>
      </c>
      <c r="C197" s="327" t="s">
        <v>1678</v>
      </c>
      <c r="D197" s="327" t="s">
        <v>1677</v>
      </c>
      <c r="E197" s="327" t="s">
        <v>1676</v>
      </c>
    </row>
    <row r="198" spans="1:5" ht="29" x14ac:dyDescent="0.35">
      <c r="A198" s="329" t="s">
        <v>1143</v>
      </c>
      <c r="B198" s="1748" t="s">
        <v>1675</v>
      </c>
      <c r="C198" s="327" t="s">
        <v>1674</v>
      </c>
      <c r="D198" s="327" t="s">
        <v>1673</v>
      </c>
      <c r="E198" s="327" t="s">
        <v>1672</v>
      </c>
    </row>
    <row r="199" spans="1:5" x14ac:dyDescent="0.35">
      <c r="A199" s="329" t="s">
        <v>1099</v>
      </c>
      <c r="B199" s="1748" t="s">
        <v>1671</v>
      </c>
      <c r="C199" s="327" t="s">
        <v>1670</v>
      </c>
      <c r="D199" s="327" t="s">
        <v>1669</v>
      </c>
      <c r="E199" s="327" t="str">
        <f>tabIdiomas26[[#This Row],[Cadena]]</f>
        <v>Termo de Enerxía (Consumo)</v>
      </c>
    </row>
    <row r="200" spans="1:5" x14ac:dyDescent="0.35">
      <c r="A200" s="329" t="s">
        <v>1104</v>
      </c>
      <c r="B200" s="1748" t="s">
        <v>1668</v>
      </c>
      <c r="C200" s="327" t="s">
        <v>1667</v>
      </c>
      <c r="D200" s="327" t="s">
        <v>1666</v>
      </c>
      <c r="E200" s="327" t="str">
        <f>tabIdiomas26[[#This Row],[Cadena]]</f>
        <v>Subtotal (Suma dos Conceptos Previos)</v>
      </c>
    </row>
    <row r="201" spans="1:5" ht="29" x14ac:dyDescent="0.35">
      <c r="A201" s="329" t="s">
        <v>1103</v>
      </c>
      <c r="B201" s="1748" t="s">
        <v>1665</v>
      </c>
      <c r="C201" s="327" t="s">
        <v>1664</v>
      </c>
      <c r="D201" s="327" t="s">
        <v>1663</v>
      </c>
      <c r="E201" s="327" t="str">
        <f>tabIdiomas26[[#This Row],[Cadena]]</f>
        <v>Base Impoñible do IVE (Suma dos Conceptos Previos)</v>
      </c>
    </row>
    <row r="202" spans="1:5" x14ac:dyDescent="0.35">
      <c r="A202" s="329" t="s">
        <v>1102</v>
      </c>
      <c r="B202" s="1748" t="s">
        <v>1662</v>
      </c>
      <c r="C202" s="327" t="s">
        <v>1661</v>
      </c>
      <c r="D202" s="327" t="s">
        <v>1660</v>
      </c>
      <c r="E202" s="327" t="str">
        <f>tabIdiomas26[[#This Row],[Cadena]]</f>
        <v>IVE (Tipo Reducido Temporalmente)</v>
      </c>
    </row>
    <row r="203" spans="1:5" ht="29" x14ac:dyDescent="0.35">
      <c r="A203" s="329" t="s">
        <v>1101</v>
      </c>
      <c r="B203" s="1748" t="s">
        <v>1659</v>
      </c>
      <c r="C203" s="327" t="s">
        <v>1658</v>
      </c>
      <c r="D203" s="327" t="s">
        <v>1657</v>
      </c>
      <c r="E203" s="327" t="s">
        <v>1656</v>
      </c>
    </row>
    <row r="204" spans="1:5" x14ac:dyDescent="0.35">
      <c r="A204" s="329" t="s">
        <v>1115</v>
      </c>
      <c r="B204" s="1748" t="s">
        <v>1655</v>
      </c>
      <c r="C204" s="327" t="s">
        <v>1654</v>
      </c>
      <c r="D204" s="327" t="s">
        <v>1653</v>
      </c>
      <c r="E204" s="327" t="str">
        <f>tabIdiomas26[[#This Row],[Cadena]]</f>
        <v>Compensacións</v>
      </c>
    </row>
    <row r="205" spans="1:5" ht="29" x14ac:dyDescent="0.35">
      <c r="A205" s="329" t="s">
        <v>1112</v>
      </c>
      <c r="B205" s="1748" t="s">
        <v>1652</v>
      </c>
      <c r="C205" s="327" t="s">
        <v>1651</v>
      </c>
      <c r="D205" s="327" t="s">
        <v>1650</v>
      </c>
      <c r="E205" s="327" t="str">
        <f>tabIdiomas26[[#This Row],[Cadena]]</f>
        <v>Valor da Enerxía Suxeita a Compensación Transmitida á Comercializadora</v>
      </c>
    </row>
    <row r="206" spans="1:5" ht="29" x14ac:dyDescent="0.35">
      <c r="A206" s="329" t="s">
        <v>1111</v>
      </c>
      <c r="B206" s="1748" t="s">
        <v>1649</v>
      </c>
      <c r="C206" s="327" t="s">
        <v>1648</v>
      </c>
      <c r="D206" s="327" t="s">
        <v>1647</v>
      </c>
      <c r="E206" s="327" t="str">
        <f>tabIdiomas26[[#This Row],[Cadena]]</f>
        <v>Valor da Enerxía Vendida Transmitida á Comercializadora</v>
      </c>
    </row>
    <row r="207" spans="1:5" ht="29" x14ac:dyDescent="0.35">
      <c r="A207" s="329" t="s">
        <v>1110</v>
      </c>
      <c r="B207" s="1748" t="s">
        <v>1646</v>
      </c>
      <c r="C207" s="327" t="s">
        <v>1645</v>
      </c>
      <c r="D207" s="327" t="s">
        <v>1644</v>
      </c>
      <c r="E207" s="327" t="s">
        <v>1643</v>
      </c>
    </row>
    <row r="208" spans="1:5" ht="43.5" x14ac:dyDescent="0.35">
      <c r="A208" s="329" t="s">
        <v>1109</v>
      </c>
      <c r="B208" s="1748" t="s">
        <v>1642</v>
      </c>
      <c r="C208" s="327" t="s">
        <v>1641</v>
      </c>
      <c r="D208" s="327" t="s">
        <v>1640</v>
      </c>
      <c r="E208" s="327" t="s">
        <v>1639</v>
      </c>
    </row>
    <row r="209" spans="1:5" ht="29" x14ac:dyDescent="0.35">
      <c r="A209" s="329" t="s">
        <v>1108</v>
      </c>
      <c r="B209" s="1748" t="s">
        <v>1638</v>
      </c>
      <c r="C209" s="327" t="s">
        <v>1637</v>
      </c>
      <c r="D209" s="327" t="s">
        <v>1636</v>
      </c>
      <c r="E209" s="327" t="s">
        <v>1635</v>
      </c>
    </row>
    <row r="210" spans="1:5" x14ac:dyDescent="0.35">
      <c r="A210" s="329" t="s">
        <v>1141</v>
      </c>
      <c r="B210" s="1748" t="s">
        <v>1634</v>
      </c>
      <c r="C210" s="327" t="s">
        <v>1633</v>
      </c>
      <c r="D210" s="327" t="s">
        <v>1632</v>
      </c>
      <c r="E210" s="327" t="str">
        <f>tabIdiomas26[[#This Row],[Cadena]]</f>
        <v>Efecto Económico Positivo Total para o Socio</v>
      </c>
    </row>
    <row r="211" spans="1:5" ht="43.5" x14ac:dyDescent="0.35">
      <c r="A211" s="329" t="s">
        <v>1140</v>
      </c>
      <c r="B211" s="1748" t="s">
        <v>1631</v>
      </c>
      <c r="C211" s="327" t="s">
        <v>1630</v>
      </c>
      <c r="D211" s="327" t="s">
        <v>1629</v>
      </c>
      <c r="E211" s="327" t="str">
        <f>tabIdiomas26[[#This Row],[Cadena]]</f>
        <v>Determinación do Efecto Económico Neto para o Socio da súa Pertenza á Iniciativa Enerxética Comunitaria</v>
      </c>
    </row>
    <row r="212" spans="1:5" ht="29" x14ac:dyDescent="0.35">
      <c r="A212" s="329" t="s">
        <v>1139</v>
      </c>
      <c r="B212" s="1748" t="s">
        <v>1628</v>
      </c>
      <c r="C212" s="327" t="s">
        <v>1627</v>
      </c>
      <c r="D212" s="327" t="s">
        <v>1626</v>
      </c>
      <c r="E212" s="327" t="str">
        <f>tabIdiomas26[[#This Row],[Cadena]]</f>
        <v>(Considérase un mes tipo, para un consumidor tipo)</v>
      </c>
    </row>
    <row r="213" spans="1:5" ht="29" x14ac:dyDescent="0.35">
      <c r="A213" s="329" t="s">
        <v>1138</v>
      </c>
      <c r="B213" s="1748" t="s">
        <v>1625</v>
      </c>
      <c r="C213" s="327" t="s">
        <v>1624</v>
      </c>
      <c r="D213" s="327" t="s">
        <v>1623</v>
      </c>
      <c r="E213" s="327" t="str">
        <f>tabIdiomas26[[#This Row],[Cadena]]</f>
        <v>Consumo Mensual do Consumidor Tipo (KWh/Mes)</v>
      </c>
    </row>
    <row r="214" spans="1:5" x14ac:dyDescent="0.35">
      <c r="A214" s="329" t="s">
        <v>851</v>
      </c>
      <c r="B214" s="1748" t="s">
        <v>1622</v>
      </c>
      <c r="C214" s="327" t="s">
        <v>1621</v>
      </c>
      <c r="D214" s="327" t="s">
        <v>851</v>
      </c>
      <c r="E214" s="327" t="str">
        <f>tabIdiomas26[[#This Row],[Cadena]]</f>
        <v>Mensual</v>
      </c>
    </row>
    <row r="215" spans="1:5" x14ac:dyDescent="0.35">
      <c r="A215" s="329" t="s">
        <v>850</v>
      </c>
      <c r="B215" s="1748" t="s">
        <v>1620</v>
      </c>
      <c r="C215" s="327" t="s">
        <v>1619</v>
      </c>
      <c r="D215" s="327" t="s">
        <v>850</v>
      </c>
      <c r="E215" s="327" t="str">
        <f>tabIdiomas26[[#This Row],[Cadena]]</f>
        <v>Anual</v>
      </c>
    </row>
    <row r="216" spans="1:5" ht="58" x14ac:dyDescent="0.35">
      <c r="A216" s="329" t="s">
        <v>1137</v>
      </c>
      <c r="B216" s="1748" t="s">
        <v>1618</v>
      </c>
      <c r="C216" s="327" t="s">
        <v>1617</v>
      </c>
      <c r="D216" s="327" t="s">
        <v>1616</v>
      </c>
      <c r="E216" s="327" t="s">
        <v>1615</v>
      </c>
    </row>
    <row r="217" spans="1:5" ht="29" x14ac:dyDescent="0.35">
      <c r="A217" s="329" t="s">
        <v>1136</v>
      </c>
      <c r="B217" s="1748" t="s">
        <v>1614</v>
      </c>
      <c r="C217" s="327" t="s">
        <v>1613</v>
      </c>
      <c r="D217" s="327" t="s">
        <v>1612</v>
      </c>
      <c r="E217" s="327" t="str">
        <f>tabIdiomas26[[#This Row],[Cadena]]</f>
        <v>(-) Efecto Económico Negativo Total para o Socio (Cotas Pagadas á Entidade)</v>
      </c>
    </row>
    <row r="218" spans="1:5" ht="29" x14ac:dyDescent="0.35">
      <c r="A218" s="329" t="s">
        <v>1135</v>
      </c>
      <c r="B218" s="1748" t="s">
        <v>1611</v>
      </c>
      <c r="C218" s="327" t="s">
        <v>1610</v>
      </c>
      <c r="D218" s="327" t="s">
        <v>1609</v>
      </c>
      <c r="E218" s="327" t="str">
        <f>tabIdiomas26[[#This Row],[Cadena]]</f>
        <v>(=) Efecto Económico Neto Total para o Socio (Positivo - Negativo)</v>
      </c>
    </row>
    <row r="219" spans="1:5" ht="29" x14ac:dyDescent="0.35">
      <c r="A219" s="329" t="s">
        <v>1134</v>
      </c>
      <c r="B219" s="1748" t="s">
        <v>1608</v>
      </c>
      <c r="C219" s="327" t="s">
        <v>1607</v>
      </c>
      <c r="D219" s="327" t="s">
        <v>1606</v>
      </c>
      <c r="E219" s="327" t="s">
        <v>1605</v>
      </c>
    </row>
    <row r="220" spans="1:5" x14ac:dyDescent="0.35">
      <c r="A220" s="329" t="s">
        <v>919</v>
      </c>
      <c r="B220" s="1748" t="s">
        <v>1604</v>
      </c>
      <c r="C220" s="327" t="s">
        <v>1603</v>
      </c>
      <c r="D220" s="327" t="s">
        <v>1602</v>
      </c>
      <c r="E220" s="327" t="s">
        <v>1601</v>
      </c>
    </row>
    <row r="221" spans="1:5" x14ac:dyDescent="0.35">
      <c r="A221" s="329" t="s">
        <v>1598</v>
      </c>
      <c r="B221" s="1748" t="s">
        <v>1600</v>
      </c>
      <c r="C221" s="327" t="s">
        <v>1599</v>
      </c>
      <c r="D221" s="327" t="s">
        <v>1598</v>
      </c>
      <c r="E221" s="327" t="str">
        <f>tabIdiomas26[[#This Row],[Cadena]]</f>
        <v>INGRESOS</v>
      </c>
    </row>
    <row r="222" spans="1:5" x14ac:dyDescent="0.35">
      <c r="A222" s="329" t="s">
        <v>907</v>
      </c>
      <c r="B222" s="1748" t="s">
        <v>1597</v>
      </c>
      <c r="C222" s="327" t="s">
        <v>1596</v>
      </c>
      <c r="D222" s="327" t="s">
        <v>907</v>
      </c>
      <c r="E222" s="327" t="str">
        <f>tabIdiomas26[[#This Row],[Cadena]]</f>
        <v>GASTOS</v>
      </c>
    </row>
    <row r="223" spans="1:5" x14ac:dyDescent="0.35">
      <c r="A223" s="327" t="s">
        <v>1595</v>
      </c>
      <c r="B223" s="1748" t="s">
        <v>1594</v>
      </c>
      <c r="C223" s="327" t="s">
        <v>1593</v>
      </c>
      <c r="D223" s="327" t="s">
        <v>1592</v>
      </c>
      <c r="E223" s="327" t="str">
        <f>tabIdiomas26[[#This Row],[Cadena]]</f>
        <v>Hipóteses de Partida</v>
      </c>
    </row>
    <row r="224" spans="1:5" x14ac:dyDescent="0.35">
      <c r="A224" s="327" t="s">
        <v>1590</v>
      </c>
      <c r="B224" s="1748" t="s">
        <v>1591</v>
      </c>
      <c r="C224" s="327" t="s">
        <v>1590</v>
      </c>
      <c r="D224" s="327" t="s">
        <v>1590</v>
      </c>
      <c r="E224" s="327" t="str">
        <f>tabIdiomas26[[#This Row],[Cadena]]</f>
        <v>Ref. 1</v>
      </c>
    </row>
    <row r="225" spans="1:5" x14ac:dyDescent="0.35">
      <c r="A225" s="327" t="s">
        <v>917</v>
      </c>
      <c r="B225" s="1748" t="s">
        <v>1589</v>
      </c>
      <c r="C225" s="327" t="s">
        <v>1588</v>
      </c>
      <c r="D225" s="327" t="s">
        <v>917</v>
      </c>
      <c r="E225" s="327" t="str">
        <f>tabIdiomas26[[#This Row],[Cadena]]</f>
        <v>Valores Acumulados (Suma)</v>
      </c>
    </row>
    <row r="226" spans="1:5" x14ac:dyDescent="0.35">
      <c r="A226" s="327" t="s">
        <v>906</v>
      </c>
      <c r="B226" s="1748" t="s">
        <v>1587</v>
      </c>
      <c r="C226" s="327" t="s">
        <v>1586</v>
      </c>
      <c r="D226" s="327" t="s">
        <v>1585</v>
      </c>
      <c r="E226" s="327" t="str">
        <f>tabIdiomas26[[#This Row],[Cadena]]</f>
        <v>Vida Completa do Proxecto</v>
      </c>
    </row>
    <row r="227" spans="1:5" x14ac:dyDescent="0.35">
      <c r="A227" s="327" t="s">
        <v>910</v>
      </c>
      <c r="B227" s="1748" t="s">
        <v>1584</v>
      </c>
      <c r="C227" s="327" t="s">
        <v>1583</v>
      </c>
      <c r="D227" s="327" t="s">
        <v>1582</v>
      </c>
      <c r="E227" s="327" t="str">
        <f>tabIdiomas26[[#This Row],[Cadena]]</f>
        <v>Ingresos Totais pola Enerxía Producida</v>
      </c>
    </row>
    <row r="228" spans="1:5" x14ac:dyDescent="0.35">
      <c r="A228" s="327" t="s">
        <v>794</v>
      </c>
      <c r="B228" s="1748" t="s">
        <v>1581</v>
      </c>
      <c r="C228" s="327" t="s">
        <v>1580</v>
      </c>
      <c r="D228" s="327" t="s">
        <v>1579</v>
      </c>
      <c r="E228" s="327" t="str">
        <f>tabIdiomas26[[#This Row],[Cadena]]</f>
        <v>Cotas de Socios</v>
      </c>
    </row>
    <row r="229" spans="1:5" ht="29" x14ac:dyDescent="0.35">
      <c r="A229" s="327" t="s">
        <v>947</v>
      </c>
      <c r="B229" s="1748" t="s">
        <v>1578</v>
      </c>
      <c r="C229" s="327" t="s">
        <v>1577</v>
      </c>
      <c r="D229" s="327" t="s">
        <v>1576</v>
      </c>
      <c r="E229" s="327" t="str">
        <f>tabIdiomas26[[#This Row],[Cadena]]</f>
        <v>Ingresos por Prestación Doutros Servizos Complementarios aos Socios</v>
      </c>
    </row>
    <row r="230" spans="1:5" ht="29" x14ac:dyDescent="0.35">
      <c r="A230" s="327" t="s">
        <v>946</v>
      </c>
      <c r="B230" s="1748" t="s">
        <v>1575</v>
      </c>
      <c r="C230" s="327" t="s">
        <v>1574</v>
      </c>
      <c r="D230" s="327" t="s">
        <v>1573</v>
      </c>
      <c r="E230" s="327" t="str">
        <f>tabIdiomas26[[#This Row],[Cadena]]</f>
        <v>Total Ingresos por Cotas de Socios e Outros Servizos Complementarios</v>
      </c>
    </row>
    <row r="231" spans="1:5" ht="29" x14ac:dyDescent="0.35">
      <c r="A231" s="327" t="s">
        <v>1572</v>
      </c>
      <c r="B231" s="1748" t="s">
        <v>1571</v>
      </c>
      <c r="C231" s="327" t="s">
        <v>1570</v>
      </c>
      <c r="D231" s="327" t="s">
        <v>1569</v>
      </c>
      <c r="E231" s="327" t="str">
        <f>tabIdiomas26[[#This Row],[Cadena]]</f>
        <v>Subvencións de Capital Transferidas ao Resultado do Exercicio (Imputación Anual)</v>
      </c>
    </row>
    <row r="232" spans="1:5" x14ac:dyDescent="0.35">
      <c r="A232" s="327" t="s">
        <v>908</v>
      </c>
      <c r="B232" s="1748" t="s">
        <v>1568</v>
      </c>
      <c r="C232" s="327" t="s">
        <v>1567</v>
      </c>
      <c r="D232" s="327" t="s">
        <v>908</v>
      </c>
      <c r="E232" s="327" t="str">
        <f>tabIdiomas26[[#This Row],[Cadena]]</f>
        <v>Total Ingresos de Explotación</v>
      </c>
    </row>
    <row r="233" spans="1:5" x14ac:dyDescent="0.35">
      <c r="A233" s="327" t="s">
        <v>905</v>
      </c>
      <c r="B233" s="1748" t="s">
        <v>1566</v>
      </c>
      <c r="C233" s="327" t="s">
        <v>1565</v>
      </c>
      <c r="D233" s="327" t="s">
        <v>1564</v>
      </c>
      <c r="E233" s="327" t="s">
        <v>905</v>
      </c>
    </row>
    <row r="234" spans="1:5" x14ac:dyDescent="0.35">
      <c r="A234" s="327" t="s">
        <v>1560</v>
      </c>
      <c r="B234" s="1748" t="s">
        <v>1563</v>
      </c>
      <c r="C234" s="327" t="s">
        <v>1562</v>
      </c>
      <c r="D234" s="327" t="s">
        <v>1561</v>
      </c>
      <c r="E234" s="327" t="s">
        <v>1560</v>
      </c>
    </row>
    <row r="235" spans="1:5" x14ac:dyDescent="0.35">
      <c r="A235" s="327" t="s">
        <v>1557</v>
      </c>
      <c r="B235" s="1748" t="s">
        <v>1559</v>
      </c>
      <c r="C235" s="327" t="s">
        <v>1558</v>
      </c>
      <c r="D235" s="327" t="s">
        <v>1557</v>
      </c>
      <c r="E235" s="327" t="s">
        <v>1557</v>
      </c>
    </row>
    <row r="236" spans="1:5" x14ac:dyDescent="0.35">
      <c r="A236" s="327" t="s">
        <v>899</v>
      </c>
      <c r="B236" s="1748" t="s">
        <v>1556</v>
      </c>
      <c r="C236" s="327" t="s">
        <v>1555</v>
      </c>
      <c r="D236" s="327" t="s">
        <v>1554</v>
      </c>
      <c r="E236" s="327" t="str">
        <f>tabIdiomas26[[#This Row],[Cadena]]</f>
        <v>Outros Servizos</v>
      </c>
    </row>
    <row r="237" spans="1:5" x14ac:dyDescent="0.35">
      <c r="A237" s="327" t="s">
        <v>898</v>
      </c>
      <c r="B237" s="1748" t="s">
        <v>1553</v>
      </c>
      <c r="C237" s="327" t="s">
        <v>1552</v>
      </c>
      <c r="D237" s="327" t="s">
        <v>1551</v>
      </c>
      <c r="E237" s="327" t="str">
        <f>tabIdiomas26[[#This Row],[Cadena]]</f>
        <v>Gastos en Servizos Exteriores</v>
      </c>
    </row>
    <row r="238" spans="1:5" ht="29" x14ac:dyDescent="0.35">
      <c r="A238" s="327" t="s">
        <v>895</v>
      </c>
      <c r="B238" s="1748" t="s">
        <v>1550</v>
      </c>
      <c r="C238" s="327" t="s">
        <v>1549</v>
      </c>
      <c r="D238" s="327" t="s">
        <v>1548</v>
      </c>
      <c r="E238" s="327" t="str">
        <f>tabIdiomas26[[#This Row],[Cadena]]</f>
        <v>Outros Tributos (Distintos do IS ou IVE)</v>
      </c>
    </row>
    <row r="239" spans="1:5" x14ac:dyDescent="0.35">
      <c r="A239" s="327" t="s">
        <v>1545</v>
      </c>
      <c r="B239" s="1748" t="s">
        <v>1547</v>
      </c>
      <c r="C239" s="327" t="s">
        <v>1546</v>
      </c>
      <c r="D239" s="327" t="s">
        <v>1545</v>
      </c>
      <c r="E239" s="327" t="str">
        <f>tabIdiomas26[[#This Row],[Cadena]]</f>
        <v>Total Gastos de Explotación</v>
      </c>
    </row>
    <row r="240" spans="1:5" ht="29" x14ac:dyDescent="0.35">
      <c r="A240" s="327" t="s">
        <v>893</v>
      </c>
      <c r="B240" s="1748" t="s">
        <v>1544</v>
      </c>
      <c r="C240" s="327" t="s">
        <v>1543</v>
      </c>
      <c r="D240" s="327" t="s">
        <v>1542</v>
      </c>
      <c r="E240" s="327" t="str">
        <f>tabIdiomas26[[#This Row],[Cadena]]</f>
        <v>EBITDA (Beneficio Antes de Interes, Impostos, Depreciacións e Amotizacións)</v>
      </c>
    </row>
    <row r="241" spans="1:5" x14ac:dyDescent="0.35">
      <c r="A241" s="327" t="s">
        <v>1538</v>
      </c>
      <c r="B241" s="1748" t="s">
        <v>1541</v>
      </c>
      <c r="C241" s="327" t="s">
        <v>1540</v>
      </c>
      <c r="D241" s="327" t="s">
        <v>1539</v>
      </c>
      <c r="E241" s="327" t="s">
        <v>1538</v>
      </c>
    </row>
    <row r="242" spans="1:5" x14ac:dyDescent="0.35">
      <c r="A242" s="327" t="s">
        <v>891</v>
      </c>
      <c r="B242" s="1748" t="s">
        <v>1537</v>
      </c>
      <c r="C242" s="327" t="s">
        <v>1536</v>
      </c>
      <c r="D242" s="327" t="s">
        <v>1535</v>
      </c>
      <c r="E242" s="327" t="str">
        <f>tabIdiomas26[[#This Row],[Cadena]]</f>
        <v>EBIT (Beneficio Antes de Intereses e Impostos)</v>
      </c>
    </row>
    <row r="243" spans="1:5" x14ac:dyDescent="0.35">
      <c r="A243" s="327" t="s">
        <v>1534</v>
      </c>
      <c r="B243" s="1748" t="s">
        <v>1533</v>
      </c>
      <c r="C243" s="327" t="s">
        <v>1532</v>
      </c>
      <c r="D243" s="327" t="s">
        <v>1531</v>
      </c>
      <c r="E243" s="327" t="str">
        <f>tabIdiomas26[[#This Row],[Cadena]]</f>
        <v>Ingresos Financeiros</v>
      </c>
    </row>
    <row r="244" spans="1:5" x14ac:dyDescent="0.35">
      <c r="A244" s="327" t="s">
        <v>1530</v>
      </c>
      <c r="B244" s="1748" t="s">
        <v>1529</v>
      </c>
      <c r="C244" s="327" t="s">
        <v>1528</v>
      </c>
      <c r="D244" s="327" t="s">
        <v>1527</v>
      </c>
      <c r="E244" s="327" t="str">
        <f>tabIdiomas26[[#This Row],[Cadena]]</f>
        <v>Gastos Financeiros</v>
      </c>
    </row>
    <row r="245" spans="1:5" x14ac:dyDescent="0.35">
      <c r="A245" s="327" t="s">
        <v>1526</v>
      </c>
      <c r="B245" s="1748" t="s">
        <v>1525</v>
      </c>
      <c r="C245" s="327" t="s">
        <v>1524</v>
      </c>
      <c r="D245" s="327" t="s">
        <v>1523</v>
      </c>
      <c r="E245" s="327" t="str">
        <f>tabIdiomas26[[#This Row],[Cadena]]</f>
        <v>Resultado Antes de Impostos</v>
      </c>
    </row>
    <row r="246" spans="1:5" x14ac:dyDescent="0.35">
      <c r="A246" s="327" t="s">
        <v>1522</v>
      </c>
      <c r="B246" s="1748" t="s">
        <v>1521</v>
      </c>
      <c r="C246" s="327" t="s">
        <v>1520</v>
      </c>
      <c r="D246" s="327" t="s">
        <v>1519</v>
      </c>
      <c r="E246" s="327" t="str">
        <f>tabIdiomas26[[#This Row],[Cadena]]</f>
        <v>Imposto sobre Sociedades (IS)</v>
      </c>
    </row>
    <row r="247" spans="1:5" x14ac:dyDescent="0.35">
      <c r="A247" s="327" t="s">
        <v>1516</v>
      </c>
      <c r="B247" s="1748" t="s">
        <v>1518</v>
      </c>
      <c r="C247" s="327" t="s">
        <v>1517</v>
      </c>
      <c r="D247" s="327" t="s">
        <v>1516</v>
      </c>
      <c r="E247" s="327" t="str">
        <f>tabIdiomas26[[#This Row],[Cadena]]</f>
        <v>Resultado Neto</v>
      </c>
    </row>
    <row r="248" spans="1:5" x14ac:dyDescent="0.35">
      <c r="A248" s="327" t="s">
        <v>883</v>
      </c>
      <c r="B248" s="1748" t="s">
        <v>1515</v>
      </c>
      <c r="C248" s="327" t="s">
        <v>1514</v>
      </c>
      <c r="D248" s="327" t="s">
        <v>1513</v>
      </c>
      <c r="E248" s="327" t="str">
        <f>tabIdiomas26[[#This Row],[Cadena]]</f>
        <v>Resumo da Conta de Resultados:</v>
      </c>
    </row>
    <row r="249" spans="1:5" x14ac:dyDescent="0.35">
      <c r="A249" s="327" t="s">
        <v>882</v>
      </c>
      <c r="B249" s="1748" t="s">
        <v>1512</v>
      </c>
      <c r="C249" s="327" t="s">
        <v>1511</v>
      </c>
      <c r="D249" s="327" t="s">
        <v>1510</v>
      </c>
      <c r="E249" s="327" t="str">
        <f>tabIdiomas26[[#This Row],[Cadena]]</f>
        <v>Suma de Ingresos Monetarios (Cotas)</v>
      </c>
    </row>
    <row r="250" spans="1:5" ht="29" x14ac:dyDescent="0.35">
      <c r="A250" s="327" t="s">
        <v>1509</v>
      </c>
      <c r="B250" s="1748" t="s">
        <v>1508</v>
      </c>
      <c r="C250" s="327" t="s">
        <v>1507</v>
      </c>
      <c r="D250" s="327" t="s">
        <v>1506</v>
      </c>
      <c r="E250" s="327" t="str">
        <f>tabIdiomas26[[#This Row],[Cadena]]</f>
        <v>Suma de Outros Ingresos Monetarios (Imputación Subvención)</v>
      </c>
    </row>
    <row r="251" spans="1:5" x14ac:dyDescent="0.35">
      <c r="A251" s="327" t="s">
        <v>880</v>
      </c>
      <c r="B251" s="1748" t="s">
        <v>1505</v>
      </c>
      <c r="C251" s="327" t="s">
        <v>1504</v>
      </c>
      <c r="D251" s="327" t="s">
        <v>880</v>
      </c>
      <c r="E251" s="327" t="str">
        <f>tabIdiomas26[[#This Row],[Cadena]]</f>
        <v>Total Ingresos Monetarios Computables</v>
      </c>
    </row>
    <row r="252" spans="1:5" x14ac:dyDescent="0.35">
      <c r="A252" s="327" t="s">
        <v>879</v>
      </c>
      <c r="B252" s="1748" t="s">
        <v>1503</v>
      </c>
      <c r="C252" s="327" t="s">
        <v>1502</v>
      </c>
      <c r="D252" s="327" t="s">
        <v>1501</v>
      </c>
      <c r="E252" s="327" t="str">
        <f>tabIdiomas26[[#This Row],[Cadena]]</f>
        <v>Suma de Custos</v>
      </c>
    </row>
    <row r="253" spans="1:5" x14ac:dyDescent="0.35">
      <c r="A253" s="327" t="s">
        <v>878</v>
      </c>
      <c r="B253" s="1748" t="s">
        <v>1500</v>
      </c>
      <c r="C253" s="327" t="s">
        <v>1499</v>
      </c>
      <c r="D253" s="327" t="s">
        <v>1498</v>
      </c>
      <c r="E253" s="327" t="str">
        <f>tabIdiomas26[[#This Row],[Cadena]]</f>
        <v>Superávit (+) ou Déficit (-)</v>
      </c>
    </row>
    <row r="254" spans="1:5" ht="29" x14ac:dyDescent="0.35">
      <c r="A254" s="327" t="s">
        <v>877</v>
      </c>
      <c r="B254" s="1748" t="s">
        <v>1497</v>
      </c>
      <c r="C254" s="327" t="s">
        <v>1496</v>
      </c>
      <c r="D254" s="327" t="s">
        <v>1495</v>
      </c>
      <c r="E254" s="327" t="str">
        <f>tabIdiomas26[[#This Row],[Cadena]]</f>
        <v>Determinación da Cota Promedio Necesaria Para a Cobertura de Custos:</v>
      </c>
    </row>
    <row r="255" spans="1:5" x14ac:dyDescent="0.35">
      <c r="A255" s="327" t="s">
        <v>868</v>
      </c>
      <c r="B255" s="1748" t="s">
        <v>1494</v>
      </c>
      <c r="C255" s="327" t="s">
        <v>1493</v>
      </c>
      <c r="D255" s="327" t="s">
        <v>1492</v>
      </c>
      <c r="E255" s="327" t="s">
        <v>868</v>
      </c>
    </row>
    <row r="256" spans="1:5" ht="43.5" x14ac:dyDescent="0.35">
      <c r="A256" s="327" t="s">
        <v>867</v>
      </c>
      <c r="B256" s="1748" t="s">
        <v>1491</v>
      </c>
      <c r="C256" s="327" t="s">
        <v>1490</v>
      </c>
      <c r="D256" s="327" t="s">
        <v>1489</v>
      </c>
      <c r="E256" s="327" t="str">
        <f>tabIdiomas26[[#This Row],[Cadena]]</f>
        <v>Cota Mínima a satisfacer polo Socio Tipo (Consumo = 294,41 KWh ao Mes)</v>
      </c>
    </row>
    <row r="257" spans="1:5" ht="29" x14ac:dyDescent="0.35">
      <c r="A257" s="327" t="s">
        <v>865</v>
      </c>
      <c r="B257" s="1748" t="s">
        <v>1488</v>
      </c>
      <c r="C257" s="327" t="s">
        <v>1487</v>
      </c>
      <c r="D257" s="327" t="s">
        <v>1486</v>
      </c>
      <c r="E257" s="327" t="str">
        <f>tabIdiomas26[[#This Row],[Cadena]]</f>
        <v>Cálculo da Incidencia do Impacto Fiscal sobre o Valor das Cotas de Socio</v>
      </c>
    </row>
    <row r="258" spans="1:5" x14ac:dyDescent="0.35">
      <c r="A258" s="327" t="s">
        <v>1485</v>
      </c>
      <c r="B258" s="1748" t="s">
        <v>1484</v>
      </c>
      <c r="C258" s="327" t="s">
        <v>1483</v>
      </c>
      <c r="D258" s="327" t="s">
        <v>1482</v>
      </c>
      <c r="E258" s="327" t="str">
        <f>tabIdiomas26[[#This Row],[Cadena]]</f>
        <v>Cota Tributaria</v>
      </c>
    </row>
    <row r="259" spans="1:5" x14ac:dyDescent="0.35">
      <c r="A259" s="327" t="s">
        <v>1481</v>
      </c>
      <c r="B259" s="1748" t="s">
        <v>1480</v>
      </c>
      <c r="C259" s="327" t="s">
        <v>1479</v>
      </c>
      <c r="D259" s="327" t="s">
        <v>1478</v>
      </c>
      <c r="E259" s="327" t="str">
        <f>tabIdiomas26[[#This Row],[Cadena]]</f>
        <v>Cota de Socio Mensual Axustada</v>
      </c>
    </row>
    <row r="260" spans="1:5" ht="29" x14ac:dyDescent="0.35">
      <c r="A260" s="327" t="s">
        <v>852</v>
      </c>
      <c r="B260" s="1748" t="s">
        <v>1477</v>
      </c>
      <c r="C260" s="327" t="s">
        <v>1476</v>
      </c>
      <c r="D260" s="327" t="s">
        <v>1475</v>
      </c>
      <c r="E260" s="327" t="str">
        <f>tabIdiomas26[[#This Row],[Cadena]]</f>
        <v>Cotas de Socios Axustadas por Impacto Fiscal no Ano Inicial</v>
      </c>
    </row>
    <row r="261" spans="1:5" ht="59.4" customHeight="1" x14ac:dyDescent="0.35">
      <c r="A261" s="327" t="s">
        <v>849</v>
      </c>
      <c r="B261" s="1748" t="s">
        <v>1474</v>
      </c>
      <c r="C261" s="327" t="s">
        <v>1473</v>
      </c>
      <c r="D261" s="327" t="s">
        <v>1472</v>
      </c>
      <c r="E261" s="327" t="str">
        <f>tabIdiomas26[[#This Row],[Cadena]]</f>
        <v>Cota Mínima Axustada por Impacto Fiscal a satisfacer polo Socio Tipo (Consumo = 294,41 KWh ao Mes)</v>
      </c>
    </row>
    <row r="262" spans="1:5" x14ac:dyDescent="0.35">
      <c r="A262" s="327" t="s">
        <v>1090</v>
      </c>
      <c r="B262" s="1748" t="s">
        <v>1471</v>
      </c>
      <c r="C262" s="327" t="s">
        <v>1470</v>
      </c>
      <c r="D262" s="327" t="s">
        <v>1469</v>
      </c>
      <c r="E262" s="327" t="str">
        <f>tabIdiomas26[[#This Row],[Cadena]]</f>
        <v>Ingresos por Enerxía Autoconsumida</v>
      </c>
    </row>
    <row r="263" spans="1:5" ht="29" x14ac:dyDescent="0.35">
      <c r="A263" s="327" t="s">
        <v>1089</v>
      </c>
      <c r="B263" s="1748" t="s">
        <v>1468</v>
      </c>
      <c r="C263" s="327" t="s">
        <v>1467</v>
      </c>
      <c r="D263" s="327" t="s">
        <v>1466</v>
      </c>
      <c r="E263" s="327" t="str">
        <f>tabIdiomas26[[#This Row],[Cadena]]</f>
        <v>Ingresos por Enerxía Excedentaria Suxeita a Compensación</v>
      </c>
    </row>
    <row r="264" spans="1:5" x14ac:dyDescent="0.35">
      <c r="A264" s="327" t="s">
        <v>1088</v>
      </c>
      <c r="B264" s="1748" t="s">
        <v>1465</v>
      </c>
      <c r="C264" s="327" t="s">
        <v>1464</v>
      </c>
      <c r="D264" s="327" t="s">
        <v>1463</v>
      </c>
      <c r="E264" s="327" t="str">
        <f>tabIdiomas26[[#This Row],[Cadena]]</f>
        <v>Ingresos por Enerxía Excedentaria Vendida</v>
      </c>
    </row>
    <row r="265" spans="1:5" ht="29" x14ac:dyDescent="0.35">
      <c r="A265" s="327" t="s">
        <v>1462</v>
      </c>
      <c r="B265" s="1748" t="s">
        <v>1461</v>
      </c>
      <c r="C265" s="327" t="s">
        <v>1460</v>
      </c>
      <c r="D265" s="327" t="s">
        <v>1459</v>
      </c>
      <c r="E265" s="327" t="str">
        <f>tabIdiomas26[[#This Row],[Cadena]]</f>
        <v>Total Ingresos Derivados da Pertenza á Iniciativa Enerxética Comunitaria</v>
      </c>
    </row>
    <row r="266" spans="1:5" x14ac:dyDescent="0.35">
      <c r="A266" s="327" t="s">
        <v>1086</v>
      </c>
      <c r="B266" s="1748" t="s">
        <v>1458</v>
      </c>
      <c r="C266" s="327" t="s">
        <v>1086</v>
      </c>
      <c r="D266" s="327" t="s">
        <v>1086</v>
      </c>
      <c r="E266" s="327" t="str">
        <f>tabIdiomas26[[#This Row],[Cadena]]</f>
        <v>Total</v>
      </c>
    </row>
    <row r="267" spans="1:5" x14ac:dyDescent="0.35">
      <c r="A267" s="327" t="s">
        <v>1457</v>
      </c>
      <c r="B267" s="1748" t="s">
        <v>1456</v>
      </c>
      <c r="C267" s="327" t="s">
        <v>1455</v>
      </c>
      <c r="D267" s="327" t="s">
        <v>1454</v>
      </c>
      <c r="E267" s="327" t="str">
        <f>tabIdiomas26[[#This Row],[Cadena]]</f>
        <v>Conxunto do Proxecto</v>
      </c>
    </row>
    <row r="268" spans="1:5" ht="29" x14ac:dyDescent="0.35">
      <c r="A268" s="327" t="s">
        <v>1453</v>
      </c>
      <c r="B268" s="1748" t="s">
        <v>1452</v>
      </c>
      <c r="C268" s="327" t="s">
        <v>1451</v>
      </c>
      <c r="D268" s="327" t="s">
        <v>1450</v>
      </c>
      <c r="E268" s="327" t="str">
        <f>tabIdiomas26[[#This Row],[Cadena]]</f>
        <v>Cota Extraordinaria Inicial (Só Primeiro Ano)</v>
      </c>
    </row>
    <row r="269" spans="1:5" ht="29" x14ac:dyDescent="0.35">
      <c r="A269" s="327" t="s">
        <v>1449</v>
      </c>
      <c r="B269" s="1748" t="s">
        <v>1448</v>
      </c>
      <c r="C269" s="327" t="s">
        <v>1447</v>
      </c>
      <c r="D269" s="327" t="s">
        <v>1446</v>
      </c>
      <c r="E269" s="327" t="str">
        <f>tabIdiomas26[[#This Row],[Cadena]]</f>
        <v>Cargos por Prestación de Servizos Complementarios aos Socios</v>
      </c>
    </row>
    <row r="270" spans="1:5" ht="29" x14ac:dyDescent="0.35">
      <c r="A270" s="327" t="s">
        <v>1445</v>
      </c>
      <c r="B270" s="1748" t="s">
        <v>1444</v>
      </c>
      <c r="C270" s="327" t="s">
        <v>1443</v>
      </c>
      <c r="D270" s="327" t="s">
        <v>1442</v>
      </c>
      <c r="E270" s="327" t="str">
        <f>tabIdiomas26[[#This Row],[Cadena]]</f>
        <v>Total Gastos Derivados da Pertenza á Iniciativa Enerxética Comunitaria</v>
      </c>
    </row>
    <row r="271" spans="1:5" ht="43.5" x14ac:dyDescent="0.35">
      <c r="A271" s="327" t="s">
        <v>1441</v>
      </c>
      <c r="B271" s="1748" t="s">
        <v>1440</v>
      </c>
      <c r="C271" s="327" t="s">
        <v>1439</v>
      </c>
      <c r="D271" s="327" t="s">
        <v>1438</v>
      </c>
      <c r="E271" s="327" t="str">
        <f>tabIdiomas26[[#This Row],[Cadena]]</f>
        <v>Resultado Anual da Participación Colectiva dos Socios na Iniciativa Enerxética Comunitaria</v>
      </c>
    </row>
    <row r="272" spans="1:5" ht="29" x14ac:dyDescent="0.35">
      <c r="A272" s="327" t="s">
        <v>1081</v>
      </c>
      <c r="B272" s="1748" t="s">
        <v>1437</v>
      </c>
      <c r="C272" s="327" t="s">
        <v>1436</v>
      </c>
      <c r="D272" s="327" t="s">
        <v>1435</v>
      </c>
      <c r="E272" s="327" t="str">
        <f>tabIdiomas26[[#This Row],[Cadena]]</f>
        <v>Valor Actual do Resultado Anual da Participación do Socio</v>
      </c>
    </row>
    <row r="273" spans="1:5" x14ac:dyDescent="0.35">
      <c r="A273" s="327" t="s">
        <v>1432</v>
      </c>
      <c r="B273" s="1748" t="s">
        <v>1434</v>
      </c>
      <c r="C273" s="327" t="s">
        <v>1433</v>
      </c>
      <c r="D273" s="327" t="s">
        <v>1432</v>
      </c>
      <c r="E273" s="327" t="str">
        <f>tabIdiomas26[[#This Row],[Cadena]]</f>
        <v>Importante:</v>
      </c>
    </row>
    <row r="274" spans="1:5" ht="43.5" x14ac:dyDescent="0.35">
      <c r="A274" s="327" t="s">
        <v>1431</v>
      </c>
      <c r="B274" s="1748" t="s">
        <v>1430</v>
      </c>
      <c r="C274" s="327" t="s">
        <v>1429</v>
      </c>
      <c r="D274" s="327" t="s">
        <v>1428</v>
      </c>
      <c r="E274" s="327" t="str">
        <f>tabIdiomas26[[#This Row],[Cadena]]</f>
        <v>Os datos desta folla cumpliméntase automaticamente, polo que non procede a súa modificación manual.</v>
      </c>
    </row>
    <row r="275" spans="1:5" ht="29" x14ac:dyDescent="0.35">
      <c r="A275" s="327" t="s">
        <v>1077</v>
      </c>
      <c r="B275" s="1748" t="s">
        <v>1427</v>
      </c>
      <c r="C275" s="327" t="s">
        <v>1426</v>
      </c>
      <c r="D275" s="327" t="s">
        <v>1425</v>
      </c>
      <c r="E275" s="327" t="str">
        <f>tabIdiomas26[[#This Row],[Cadena]]</f>
        <v>Valor Actual Neto dos Fluxos Positivos de Valor Económico</v>
      </c>
    </row>
    <row r="276" spans="1:5" ht="29" x14ac:dyDescent="0.35">
      <c r="A276" s="327" t="s">
        <v>1076</v>
      </c>
      <c r="B276" s="1748" t="s">
        <v>1424</v>
      </c>
      <c r="C276" s="327" t="s">
        <v>1423</v>
      </c>
      <c r="D276" s="327" t="s">
        <v>1422</v>
      </c>
      <c r="E276" s="327" t="str">
        <f>tabIdiomas26[[#This Row],[Cadena]]</f>
        <v>Valor Actual Neto dos Fluxos de Valor Económico Esperados</v>
      </c>
    </row>
    <row r="277" spans="1:5" x14ac:dyDescent="0.35">
      <c r="A277" s="327" t="s">
        <v>1421</v>
      </c>
      <c r="B277" s="1748" t="s">
        <v>1420</v>
      </c>
      <c r="C277" s="327" t="s">
        <v>1419</v>
      </c>
      <c r="D277" s="327" t="s">
        <v>1418</v>
      </c>
      <c r="E277" s="327" t="str">
        <f>tabIdiomas26[[#This Row],[Cadena]]</f>
        <v>TIR Conxunto dos Socios (%)</v>
      </c>
    </row>
    <row r="278" spans="1:5" x14ac:dyDescent="0.35">
      <c r="A278" s="327" t="s">
        <v>1417</v>
      </c>
      <c r="B278" s="1748" t="s">
        <v>1416</v>
      </c>
      <c r="C278" s="327" t="s">
        <v>1415</v>
      </c>
      <c r="D278" s="327" t="s">
        <v>1414</v>
      </c>
      <c r="E278" s="327" t="str">
        <f>tabIdiomas26[[#This Row],[Cadena]]</f>
        <v>TIR Modificada Conxunto dos Socios (%)</v>
      </c>
    </row>
    <row r="279" spans="1:5" ht="29" x14ac:dyDescent="0.35">
      <c r="A279" s="327" t="s">
        <v>1413</v>
      </c>
      <c r="B279" s="1748" t="s">
        <v>1412</v>
      </c>
      <c r="C279" s="327" t="s">
        <v>1411</v>
      </c>
      <c r="D279" s="327" t="s">
        <v>1410</v>
      </c>
      <c r="E279" s="327" t="str">
        <f>tabIdiomas26[[#This Row],[Cadena]]</f>
        <v>Comprobación da Coherencia entre os Resultados Individual e Colectivo</v>
      </c>
    </row>
    <row r="280" spans="1:5" ht="29" x14ac:dyDescent="0.35">
      <c r="A280" s="327" t="s">
        <v>1409</v>
      </c>
      <c r="B280" s="1748" t="s">
        <v>1408</v>
      </c>
      <c r="C280" s="327" t="s">
        <v>1407</v>
      </c>
      <c r="D280" s="327" t="s">
        <v>1406</v>
      </c>
      <c r="E280" s="327" t="str">
        <f>tabIdiomas26[[#This Row],[Cadena]]</f>
        <v>(Cela en Cor debe conter valor 0,00€; Cor Verde)</v>
      </c>
    </row>
    <row r="281" spans="1:5" ht="43.5" x14ac:dyDescent="0.35">
      <c r="A281" s="327" t="s">
        <v>1405</v>
      </c>
      <c r="B281" s="1748" t="s">
        <v>1404</v>
      </c>
      <c r="C281" s="327" t="s">
        <v>1403</v>
      </c>
      <c r="D281" s="327" t="s">
        <v>1402</v>
      </c>
      <c r="E281" s="327" t="str">
        <f>tabIdiomas26[[#This Row],[Cadena]]</f>
        <v>Resultado Anual da Participación do Socio Individual na Iniciativa Enerxética Comunitaria</v>
      </c>
    </row>
    <row r="282" spans="1:5" ht="29" x14ac:dyDescent="0.35">
      <c r="A282" s="327" t="s">
        <v>1093</v>
      </c>
      <c r="B282" s="1748" t="s">
        <v>1401</v>
      </c>
      <c r="C282" s="327" t="s">
        <v>1400</v>
      </c>
      <c r="D282" s="327" t="s">
        <v>1399</v>
      </c>
      <c r="E282" s="327" t="str">
        <f>tabIdiomas26[[#This Row],[Cadena]]</f>
        <v>Aportación Inicial do Socio á Iniciativa Enerxética Comunitaria</v>
      </c>
    </row>
    <row r="283" spans="1:5" x14ac:dyDescent="0.35">
      <c r="A283" s="327" t="s">
        <v>1398</v>
      </c>
      <c r="B283" s="1748" t="s">
        <v>1397</v>
      </c>
      <c r="C283" s="327" t="s">
        <v>1396</v>
      </c>
      <c r="D283" s="327" t="s">
        <v>1395</v>
      </c>
      <c r="E283" s="327" t="str">
        <f>tabIdiomas26[[#This Row],[Cadena]]</f>
        <v>TIR do Socio Individual (%)</v>
      </c>
    </row>
    <row r="284" spans="1:5" x14ac:dyDescent="0.35">
      <c r="A284" s="327" t="s">
        <v>1394</v>
      </c>
      <c r="B284" s="1748" t="s">
        <v>1393</v>
      </c>
      <c r="C284" s="327" t="s">
        <v>1392</v>
      </c>
      <c r="D284" s="327" t="s">
        <v>1391</v>
      </c>
      <c r="E284" s="327" t="str">
        <f>tabIdiomas26[[#This Row],[Cadena]]</f>
        <v>TIR Modificada do Socio Individual (%)</v>
      </c>
    </row>
    <row r="285" spans="1:5" x14ac:dyDescent="0.35">
      <c r="A285" s="327" t="s">
        <v>1156</v>
      </c>
      <c r="B285" s="1748" t="s">
        <v>1390</v>
      </c>
      <c r="C285" s="327" t="s">
        <v>1389</v>
      </c>
      <c r="D285" s="327" t="s">
        <v>1388</v>
      </c>
      <c r="E285" s="327" t="s">
        <v>1387</v>
      </c>
    </row>
    <row r="286" spans="1:5" x14ac:dyDescent="0.35">
      <c r="A286" s="327" t="s">
        <v>1200</v>
      </c>
      <c r="B286" s="1748" t="s">
        <v>1386</v>
      </c>
      <c r="C286" s="327" t="s">
        <v>1385</v>
      </c>
      <c r="D286" s="327" t="s">
        <v>1200</v>
      </c>
      <c r="E286" s="327" t="str">
        <f>tabIdiomas26[[#This Row],[Cadena]]</f>
        <v>Impacto Económico Positivo Total (Mensual)</v>
      </c>
    </row>
    <row r="287" spans="1:5" ht="43.5" x14ac:dyDescent="0.35">
      <c r="A287" s="327" t="s">
        <v>1384</v>
      </c>
      <c r="B287" s="1748" t="s">
        <v>1383</v>
      </c>
      <c r="C287" s="327" t="s">
        <v>1382</v>
      </c>
      <c r="D287" s="327" t="s">
        <v>1381</v>
      </c>
      <c r="E287" s="327" t="str">
        <f>tabIdiomas26[[#This Row],[Cadena]]</f>
        <v>(Aforro na Fatura e Ingresos por Compensación ou Venda da Enerxía Excedentaria)</v>
      </c>
    </row>
    <row r="288" spans="1:5" x14ac:dyDescent="0.35">
      <c r="A288" s="327" t="s">
        <v>1380</v>
      </c>
      <c r="B288" s="1748" t="s">
        <v>1379</v>
      </c>
      <c r="C288" s="327" t="s">
        <v>1378</v>
      </c>
      <c r="D288" s="327" t="s">
        <v>1377</v>
      </c>
      <c r="E288" s="327" t="str">
        <f>tabIdiomas26[[#This Row],[Cadena]]</f>
        <v>Conxunto Completo dos Socios</v>
      </c>
    </row>
    <row r="289" spans="1:5" ht="29" x14ac:dyDescent="0.35">
      <c r="A289" s="327" t="s">
        <v>1190</v>
      </c>
      <c r="B289" s="1748" t="s">
        <v>1376</v>
      </c>
      <c r="C289" s="327" t="s">
        <v>1375</v>
      </c>
      <c r="D289" s="327" t="s">
        <v>1374</v>
      </c>
      <c r="E289" s="327" t="str">
        <f>tabIdiomas26[[#This Row],[Cadena]]</f>
        <v>Cota Mensual Extraordinaria Primeiro Ano -€/Mes-</v>
      </c>
    </row>
    <row r="290" spans="1:5" ht="29" x14ac:dyDescent="0.35">
      <c r="A290" s="327" t="s">
        <v>1189</v>
      </c>
      <c r="B290" s="1748" t="s">
        <v>1373</v>
      </c>
      <c r="C290" s="327" t="s">
        <v>1372</v>
      </c>
      <c r="D290" s="327" t="s">
        <v>1371</v>
      </c>
      <c r="E290" s="327" t="str">
        <f>tabIdiomas26[[#This Row],[Cadena]]</f>
        <v>Cota Mensual Ordinaria (Todos os Anos) -€/Mes-</v>
      </c>
    </row>
    <row r="291" spans="1:5" ht="43.5" x14ac:dyDescent="0.35">
      <c r="A291" s="327" t="s">
        <v>1370</v>
      </c>
      <c r="B291" s="1748" t="s">
        <v>1369</v>
      </c>
      <c r="C291" s="327" t="s">
        <v>1368</v>
      </c>
      <c r="D291" s="327" t="s">
        <v>1367</v>
      </c>
      <c r="E291" s="327" t="str">
        <f>tabIdiomas26[[#This Row],[Cadena]]</f>
        <v>Outros Desembolsos Mensuais do Socio a Favor da Entidade Xestora da Iniciativa Enerxética Comunitaria -€/Mes-</v>
      </c>
    </row>
    <row r="292" spans="1:5" ht="43.5" x14ac:dyDescent="0.35">
      <c r="A292" s="327" t="s">
        <v>1366</v>
      </c>
      <c r="B292" s="1748" t="s">
        <v>1365</v>
      </c>
      <c r="C292" s="327" t="s">
        <v>1364</v>
      </c>
      <c r="D292" s="327" t="s">
        <v>1363</v>
      </c>
      <c r="E292" s="327" t="str">
        <f>tabIdiomas26[[#This Row],[Cadena]]</f>
        <v>Total de Custos Soportados polo Socio no Mes, Derivados da súa Pertenza á Iniciativa Enerxética Comunitaria (€)</v>
      </c>
    </row>
    <row r="293" spans="1:5" ht="43.5" x14ac:dyDescent="0.35">
      <c r="A293" s="327" t="s">
        <v>1362</v>
      </c>
      <c r="B293" s="1748" t="s">
        <v>1361</v>
      </c>
      <c r="C293" s="327" t="s">
        <v>1360</v>
      </c>
      <c r="D293" s="327" t="s">
        <v>1359</v>
      </c>
      <c r="E293" s="327" t="str">
        <f>tabIdiomas26[[#This Row],[Cadena]]</f>
        <v>Resultado Neto Mensual Esperado para o Socio da súa Pertenza á Iniciativa Enerxética Comunitaria (€)</v>
      </c>
    </row>
    <row r="294" spans="1:5" ht="43.5" x14ac:dyDescent="0.35">
      <c r="A294" s="327" t="s">
        <v>1358</v>
      </c>
      <c r="B294" s="1748" t="s">
        <v>1357</v>
      </c>
      <c r="C294" s="327" t="s">
        <v>1356</v>
      </c>
      <c r="D294" s="327" t="s">
        <v>1355</v>
      </c>
      <c r="E294" s="327" t="str">
        <f>tabIdiomas26[[#This Row],[Cadena]]</f>
        <v>Resultado Neto Mensual Esperado para o Socio da súa Pertenza á Iniciativa Enerxética Comunitaria (% s/ Fatura Inicial)</v>
      </c>
    </row>
    <row r="295" spans="1:5" x14ac:dyDescent="0.35">
      <c r="A295" s="327" t="s">
        <v>1026</v>
      </c>
      <c r="B295" s="1749" t="s">
        <v>1354</v>
      </c>
      <c r="C295" s="327" t="s">
        <v>1353</v>
      </c>
      <c r="D295" s="327" t="s">
        <v>1352</v>
      </c>
      <c r="E295" s="327" t="str">
        <f>tabIdiomas26[[#This Row],[Cadena]]</f>
        <v>Fluxos de caixa</v>
      </c>
    </row>
    <row r="296" spans="1:5" x14ac:dyDescent="0.35">
      <c r="A296" s="327" t="s">
        <v>1024</v>
      </c>
      <c r="B296" s="1748" t="s">
        <v>1351</v>
      </c>
      <c r="C296" s="327" t="s">
        <v>1350</v>
      </c>
      <c r="D296" s="327" t="s">
        <v>1024</v>
      </c>
      <c r="E296" s="327" t="str">
        <f>tabIdiomas26[[#This Row],[Cadena]]</f>
        <v>Conceptos</v>
      </c>
    </row>
    <row r="297" spans="1:5" x14ac:dyDescent="0.35">
      <c r="A297" s="327" t="s">
        <v>1022</v>
      </c>
      <c r="B297" s="1748" t="s">
        <v>1349</v>
      </c>
      <c r="C297" s="327" t="s">
        <v>1348</v>
      </c>
      <c r="D297" s="327" t="s">
        <v>1347</v>
      </c>
      <c r="E297" s="327" t="str">
        <f>tabIdiomas26[[#This Row],[Cadena]]</f>
        <v>Fluxo de Caixa Operativo</v>
      </c>
    </row>
    <row r="298" spans="1:5" x14ac:dyDescent="0.35">
      <c r="A298" s="327" t="s">
        <v>1344</v>
      </c>
      <c r="B298" s="1748" t="s">
        <v>1346</v>
      </c>
      <c r="C298" s="327" t="s">
        <v>1345</v>
      </c>
      <c r="D298" s="327" t="s">
        <v>1344</v>
      </c>
      <c r="E298" s="327" t="str">
        <f>tabIdiomas26[[#This Row],[Cadena]]</f>
        <v>Resultado de Explotación</v>
      </c>
    </row>
    <row r="299" spans="1:5" ht="29" x14ac:dyDescent="0.35">
      <c r="A299" s="327" t="s">
        <v>1343</v>
      </c>
      <c r="B299" s="1748" t="s">
        <v>1342</v>
      </c>
      <c r="C299" s="327" t="s">
        <v>1341</v>
      </c>
      <c r="D299" s="327" t="s">
        <v>1340</v>
      </c>
      <c r="E299" s="327" t="str">
        <f>tabIdiomas26[[#This Row],[Cadena]]</f>
        <v>(-) Ingresos por Enerxía Autoconsumida e Compensada</v>
      </c>
    </row>
    <row r="300" spans="1:5" x14ac:dyDescent="0.35">
      <c r="A300" s="327" t="s">
        <v>1339</v>
      </c>
      <c r="B300" s="327" t="s">
        <v>1338</v>
      </c>
      <c r="C300" s="327" t="s">
        <v>1337</v>
      </c>
      <c r="D300" s="327" t="s">
        <v>1336</v>
      </c>
      <c r="E300" s="327" t="str">
        <f>tabIdiomas26[[#This Row],[Cadena]]</f>
        <v>(+) Amortización do Investimento</v>
      </c>
    </row>
    <row r="301" spans="1:5" ht="29" x14ac:dyDescent="0.35">
      <c r="A301" s="327" t="s">
        <v>1335</v>
      </c>
      <c r="B301" s="327" t="s">
        <v>1334</v>
      </c>
      <c r="C301" s="327" t="s">
        <v>1333</v>
      </c>
      <c r="D301" s="327" t="s">
        <v>1332</v>
      </c>
      <c r="E301" s="327" t="str">
        <f>tabIdiomas26[[#This Row],[Cadena]]</f>
        <v>(+) Variación Neta do Capital Circulante (Estimado en 1 Mes de Gastos de Explotación)</v>
      </c>
    </row>
    <row r="302" spans="1:5" ht="29" x14ac:dyDescent="0.35">
      <c r="A302" s="327" t="s">
        <v>1331</v>
      </c>
      <c r="B302" s="327" t="s">
        <v>1330</v>
      </c>
      <c r="C302" s="327" t="s">
        <v>1329</v>
      </c>
      <c r="D302" s="327" t="s">
        <v>1328</v>
      </c>
      <c r="E302" s="327" t="str">
        <f>tabIdiomas26[[#This Row],[Cadena]]</f>
        <v>(-) Imputación de Subvencións no Resultado do Exercicio</v>
      </c>
    </row>
    <row r="303" spans="1:5" x14ac:dyDescent="0.35">
      <c r="A303" s="327" t="s">
        <v>1327</v>
      </c>
      <c r="B303" s="327" t="s">
        <v>1326</v>
      </c>
      <c r="C303" s="327" t="s">
        <v>1325</v>
      </c>
      <c r="D303" s="327" t="s">
        <v>1324</v>
      </c>
      <c r="E303" s="327" t="str">
        <f>tabIdiomas26[[#This Row],[Cadena]]</f>
        <v>(-) Ingresos Financeiros</v>
      </c>
    </row>
    <row r="304" spans="1:5" x14ac:dyDescent="0.35">
      <c r="A304" s="327" t="s">
        <v>1323</v>
      </c>
      <c r="B304" s="327" t="s">
        <v>1322</v>
      </c>
      <c r="C304" s="327" t="s">
        <v>1321</v>
      </c>
      <c r="D304" s="327" t="s">
        <v>1320</v>
      </c>
      <c r="E304" s="327" t="str">
        <f>tabIdiomas26[[#This Row],[Cadena]]</f>
        <v>(+) Gastos Financeiros (Intereses da Débeda)</v>
      </c>
    </row>
    <row r="305" spans="1:5" ht="29" x14ac:dyDescent="0.35">
      <c r="A305" s="327" t="s">
        <v>1319</v>
      </c>
      <c r="B305" s="327" t="s">
        <v>1318</v>
      </c>
      <c r="C305" s="327" t="s">
        <v>1317</v>
      </c>
      <c r="D305" s="327" t="s">
        <v>1316</v>
      </c>
      <c r="E305" s="327" t="str">
        <f>tabIdiomas26[[#This Row],[Cadena]]</f>
        <v>(-) / (+) Outros Ingresos e Gastos que Non Supoñen Fluxo de Efectivo</v>
      </c>
    </row>
    <row r="306" spans="1:5" ht="29" x14ac:dyDescent="0.35">
      <c r="A306" s="327" t="s">
        <v>1013</v>
      </c>
      <c r="B306" s="327" t="s">
        <v>1315</v>
      </c>
      <c r="C306" s="327" t="s">
        <v>1314</v>
      </c>
      <c r="D306" s="327" t="s">
        <v>1313</v>
      </c>
      <c r="E306" s="327" t="str">
        <f>tabIdiomas26[[#This Row],[Cadena]]</f>
        <v>(=) Fluxo de Caixa Operativo ou das Actividades de Explotación [A]</v>
      </c>
    </row>
    <row r="307" spans="1:5" x14ac:dyDescent="0.35">
      <c r="A307" s="327" t="s">
        <v>1012</v>
      </c>
      <c r="B307" s="327" t="s">
        <v>1312</v>
      </c>
      <c r="C307" s="327" t="s">
        <v>1311</v>
      </c>
      <c r="D307" s="327" t="s">
        <v>1310</v>
      </c>
      <c r="E307" s="327" t="str">
        <f>tabIdiomas26[[#This Row],[Cadena]]</f>
        <v>Fluxo de Caixa das Actividades de Investimento</v>
      </c>
    </row>
    <row r="308" spans="1:5" x14ac:dyDescent="0.35">
      <c r="A308" s="327" t="s">
        <v>1011</v>
      </c>
      <c r="B308" s="327" t="s">
        <v>1309</v>
      </c>
      <c r="C308" s="327" t="s">
        <v>1308</v>
      </c>
      <c r="D308" s="327" t="s">
        <v>1307</v>
      </c>
      <c r="E308" s="327" t="str">
        <f>tabIdiomas26[[#This Row],[Cadena]]</f>
        <v>(-) Pagos por Inversións Efectuadas</v>
      </c>
    </row>
    <row r="309" spans="1:5" x14ac:dyDescent="0.35">
      <c r="A309" s="327" t="s">
        <v>1010</v>
      </c>
      <c r="B309" s="327" t="s">
        <v>1306</v>
      </c>
      <c r="C309" s="327" t="s">
        <v>1305</v>
      </c>
      <c r="D309" s="327" t="s">
        <v>1304</v>
      </c>
      <c r="E309" s="327" t="str">
        <f>tabIdiomas26[[#This Row],[Cadena]]</f>
        <v>(+) Cobros por Desinversións Efectuadas</v>
      </c>
    </row>
    <row r="310" spans="1:5" ht="29" x14ac:dyDescent="0.35">
      <c r="A310" s="327" t="s">
        <v>1009</v>
      </c>
      <c r="B310" s="327" t="s">
        <v>1303</v>
      </c>
      <c r="C310" s="327" t="s">
        <v>1302</v>
      </c>
      <c r="D310" s="327" t="s">
        <v>1301</v>
      </c>
      <c r="E310" s="327" t="str">
        <f>tabIdiomas26[[#This Row],[Cadena]]</f>
        <v>(=) Fluxo de Caixa das Actividades de Investimento [B]</v>
      </c>
    </row>
    <row r="311" spans="1:5" ht="29" x14ac:dyDescent="0.35">
      <c r="A311" s="327" t="s">
        <v>1008</v>
      </c>
      <c r="B311" s="327" t="s">
        <v>1300</v>
      </c>
      <c r="C311" s="327" t="s">
        <v>1299</v>
      </c>
      <c r="D311" s="327" t="s">
        <v>1298</v>
      </c>
      <c r="E311" s="327" t="str">
        <f>tabIdiomas26[[#This Row],[Cadena]]</f>
        <v>Fluxo de Caixa das Actividades de Financiamento (Recursos Propios e Débeda)</v>
      </c>
    </row>
    <row r="312" spans="1:5" ht="29" x14ac:dyDescent="0.35">
      <c r="A312" s="327" t="s">
        <v>1007</v>
      </c>
      <c r="B312" s="327" t="s">
        <v>1297</v>
      </c>
      <c r="C312" s="327" t="s">
        <v>1296</v>
      </c>
      <c r="D312" s="327" t="s">
        <v>1295</v>
      </c>
      <c r="E312" s="327" t="str">
        <f>tabIdiomas26[[#This Row],[Cadena]]</f>
        <v>(+) Emisión de Instrumentos de Patrimonio (Accións ou Participacións)</v>
      </c>
    </row>
    <row r="313" spans="1:5" ht="29" x14ac:dyDescent="0.35">
      <c r="A313" s="327" t="s">
        <v>1006</v>
      </c>
      <c r="B313" s="327" t="s">
        <v>1294</v>
      </c>
      <c r="C313" s="327" t="s">
        <v>1293</v>
      </c>
      <c r="D313" s="623" t="s">
        <v>1292</v>
      </c>
      <c r="E313" s="327" t="str">
        <f>tabIdiomas26[[#This Row],[Cadena]]</f>
        <v>(-) Amortización de Instrumentos de Patrimonio (Accións ou Participacións)</v>
      </c>
    </row>
    <row r="314" spans="1:5" x14ac:dyDescent="0.35">
      <c r="A314" s="327" t="s">
        <v>1291</v>
      </c>
      <c r="B314" s="327" t="s">
        <v>1290</v>
      </c>
      <c r="C314" s="327" t="s">
        <v>1289</v>
      </c>
      <c r="D314" s="327" t="s">
        <v>1288</v>
      </c>
      <c r="E314" s="327" t="str">
        <f>tabIdiomas26[[#This Row],[Cadena]]</f>
        <v>(+) Subvencións Recibidas</v>
      </c>
    </row>
    <row r="315" spans="1:5" x14ac:dyDescent="0.35">
      <c r="A315" s="327" t="s">
        <v>1285</v>
      </c>
      <c r="B315" s="327" t="s">
        <v>1287</v>
      </c>
      <c r="C315" s="327" t="s">
        <v>1286</v>
      </c>
      <c r="D315" s="327" t="s">
        <v>1285</v>
      </c>
      <c r="E315" s="327" t="str">
        <f>tabIdiomas26[[#This Row],[Cadena]]</f>
        <v>(+) Concesión de Préstamo</v>
      </c>
    </row>
    <row r="316" spans="1:5" x14ac:dyDescent="0.35">
      <c r="A316" s="327" t="s">
        <v>1282</v>
      </c>
      <c r="B316" s="327" t="s">
        <v>1284</v>
      </c>
      <c r="C316" s="327" t="s">
        <v>1283</v>
      </c>
      <c r="D316" s="327" t="s">
        <v>1282</v>
      </c>
      <c r="E316" s="327" t="str">
        <f>tabIdiomas26[[#This Row],[Cadena]]</f>
        <v>(-) Amortización de préstamo</v>
      </c>
    </row>
    <row r="317" spans="1:5" ht="29" x14ac:dyDescent="0.35">
      <c r="A317" s="327" t="s">
        <v>1281</v>
      </c>
      <c r="B317" s="327" t="s">
        <v>1280</v>
      </c>
      <c r="C317" s="327" t="s">
        <v>1279</v>
      </c>
      <c r="D317" s="327" t="s">
        <v>1278</v>
      </c>
      <c r="E317" s="327" t="str">
        <f>tabIdiomas26[[#This Row],[Cadena]]</f>
        <v>(-) Pagos por Remuneración de Débeda (Intereses Préstamo)</v>
      </c>
    </row>
    <row r="318" spans="1:5" ht="29" x14ac:dyDescent="0.35">
      <c r="A318" s="327" t="s">
        <v>1001</v>
      </c>
      <c r="B318" s="327" t="s">
        <v>1277</v>
      </c>
      <c r="C318" s="327" t="s">
        <v>1276</v>
      </c>
      <c r="D318" s="623" t="s">
        <v>1001</v>
      </c>
      <c r="E318" s="327" t="str">
        <f>tabIdiomas26[[#This Row],[Cadena]]</f>
        <v>(-) Pagos por Remuneración de Instrumentos de Patrimonio (Dividendos)</v>
      </c>
    </row>
    <row r="319" spans="1:5" ht="29" x14ac:dyDescent="0.35">
      <c r="A319" s="327" t="s">
        <v>1275</v>
      </c>
      <c r="B319" s="327" t="s">
        <v>1274</v>
      </c>
      <c r="C319" s="327" t="s">
        <v>1273</v>
      </c>
      <c r="D319" s="327" t="s">
        <v>1272</v>
      </c>
      <c r="E319" s="327" t="str">
        <f>tabIdiomas26[[#This Row],[Cadena]]</f>
        <v>(=) Fluxo de Caixa das Actividades de Financiamento (Recursos Propios e Débeda) [C]</v>
      </c>
    </row>
    <row r="320" spans="1:5" x14ac:dyDescent="0.35">
      <c r="A320" s="327" t="s">
        <v>999</v>
      </c>
      <c r="B320" t="s">
        <v>1271</v>
      </c>
      <c r="C320" s="327" t="s">
        <v>1270</v>
      </c>
      <c r="D320" s="327" t="s">
        <v>999</v>
      </c>
      <c r="E320" s="327" t="str">
        <f>tabIdiomas26[[#This Row],[Cadena]]</f>
        <v>Cash Flow Libre [A+B+C]</v>
      </c>
    </row>
    <row r="321" spans="1:5" x14ac:dyDescent="0.35">
      <c r="A321" s="327" t="s">
        <v>998</v>
      </c>
      <c r="B321" t="s">
        <v>1269</v>
      </c>
      <c r="C321" s="327" t="s">
        <v>1268</v>
      </c>
      <c r="D321" s="327" t="s">
        <v>1267</v>
      </c>
      <c r="E321" s="327" t="str">
        <f>tabIdiomas26[[#This Row],[Cadena]]</f>
        <v>Cash Flow proxecto [A+B]</v>
      </c>
    </row>
    <row r="322" spans="1:5" x14ac:dyDescent="0.35">
      <c r="A322" s="327" t="s">
        <v>997</v>
      </c>
      <c r="B322" s="327" t="s">
        <v>1266</v>
      </c>
      <c r="C322" s="327" t="s">
        <v>1265</v>
      </c>
      <c r="D322" s="327" t="s">
        <v>1264</v>
      </c>
      <c r="E322" s="327" t="str">
        <f>tabIdiomas26[[#This Row],[Cadena]]</f>
        <v>Cash Flow dos Socios</v>
      </c>
    </row>
    <row r="323" spans="1:5" x14ac:dyDescent="0.35">
      <c r="A323" s="327" t="s">
        <v>996</v>
      </c>
      <c r="B323" s="327" t="s">
        <v>1263</v>
      </c>
      <c r="C323" s="327" t="s">
        <v>1262</v>
      </c>
      <c r="D323" s="327" t="s">
        <v>1261</v>
      </c>
      <c r="E323" s="327" t="str">
        <f>tabIdiomas26[[#This Row],[Cadena]]</f>
        <v>Valor Actual do Fluxo de Caixa</v>
      </c>
    </row>
    <row r="324" spans="1:5" x14ac:dyDescent="0.35">
      <c r="A324" s="327" t="s">
        <v>995</v>
      </c>
      <c r="B324" s="327" t="s">
        <v>1260</v>
      </c>
      <c r="C324" s="327" t="s">
        <v>1259</v>
      </c>
      <c r="D324" s="327" t="s">
        <v>1258</v>
      </c>
      <c r="E324" s="327" t="str">
        <f>tabIdiomas26[[#This Row],[Cadena]]</f>
        <v>Valor Actual Fluxo de Caixa Proxecto</v>
      </c>
    </row>
    <row r="325" spans="1:5" ht="29" x14ac:dyDescent="0.35">
      <c r="A325" s="327" t="s">
        <v>994</v>
      </c>
      <c r="B325" s="327" t="s">
        <v>1257</v>
      </c>
      <c r="C325" s="327" t="s">
        <v>1256</v>
      </c>
      <c r="D325" s="327" t="s">
        <v>1255</v>
      </c>
      <c r="E325" s="327" t="str">
        <f>tabIdiomas26[[#This Row],[Cadena]]</f>
        <v>Rendemento da instalación e recursos financeiros necesarios</v>
      </c>
    </row>
    <row r="326" spans="1:5" x14ac:dyDescent="0.35">
      <c r="A326" s="327" t="s">
        <v>993</v>
      </c>
      <c r="B326" s="327" t="s">
        <v>1254</v>
      </c>
      <c r="C326" s="327" t="s">
        <v>1253</v>
      </c>
      <c r="D326" s="327" t="s">
        <v>1252</v>
      </c>
      <c r="E326" s="327" t="str">
        <f>tabIdiomas26[[#This Row],[Cadena]]</f>
        <v>TIR proxecto</v>
      </c>
    </row>
    <row r="327" spans="1:5" x14ac:dyDescent="0.35">
      <c r="A327" s="327" t="s">
        <v>991</v>
      </c>
      <c r="B327" s="327" t="s">
        <v>1251</v>
      </c>
      <c r="C327" s="327" t="s">
        <v>1250</v>
      </c>
      <c r="D327" s="327" t="s">
        <v>1249</v>
      </c>
      <c r="E327" s="327" t="str">
        <f>tabIdiomas26[[#This Row],[Cadena]]</f>
        <v>TIR modificada proxecto</v>
      </c>
    </row>
    <row r="328" spans="1:5" x14ac:dyDescent="0.35">
      <c r="A328" s="327" t="s">
        <v>990</v>
      </c>
      <c r="B328" s="327" t="s">
        <v>1248</v>
      </c>
      <c r="C328" s="327" t="s">
        <v>1247</v>
      </c>
      <c r="D328" s="327" t="s">
        <v>1246</v>
      </c>
      <c r="E328" s="327" t="str">
        <f>tabIdiomas26[[#This Row],[Cadena]]</f>
        <v>TIR Socios Incluíndo Fluxos de Financiamento</v>
      </c>
    </row>
    <row r="329" spans="1:5" x14ac:dyDescent="0.35">
      <c r="A329" s="327" t="s">
        <v>988</v>
      </c>
      <c r="B329" s="327" t="s">
        <v>1245</v>
      </c>
      <c r="C329" s="327" t="s">
        <v>1244</v>
      </c>
      <c r="D329" s="327" t="s">
        <v>1243</v>
      </c>
      <c r="E329" s="327" t="str">
        <f>tabIdiomas26[[#This Row],[Cadena]]</f>
        <v>TIR Modificada dos Socios</v>
      </c>
    </row>
    <row r="330" spans="1:5" ht="29" x14ac:dyDescent="0.35">
      <c r="A330" s="327" t="s">
        <v>987</v>
      </c>
      <c r="B330" s="327" t="s">
        <v>1242</v>
      </c>
      <c r="C330" s="327" t="s">
        <v>1241</v>
      </c>
      <c r="D330" s="327" t="s">
        <v>1240</v>
      </c>
      <c r="E330" s="327" t="str">
        <f>tabIdiomas26[[#This Row],[Cadena]]</f>
        <v>VAN Socios con Fluxos de Financiamento (ke 5%)</v>
      </c>
    </row>
    <row r="331" spans="1:5" ht="29" x14ac:dyDescent="0.35">
      <c r="A331" s="327" t="s">
        <v>1073</v>
      </c>
      <c r="B331" s="327" t="s">
        <v>1239</v>
      </c>
      <c r="C331" s="327" t="s">
        <v>1238</v>
      </c>
      <c r="D331" s="327" t="s">
        <v>1237</v>
      </c>
      <c r="E331" s="327" t="str">
        <f>tabIdiomas26[[#This Row],[Cadena]]</f>
        <v>Período de Recuperación do Investimento (Anos)</v>
      </c>
    </row>
    <row r="332" spans="1:5" ht="29" x14ac:dyDescent="0.35">
      <c r="A332" s="327" t="s">
        <v>1236</v>
      </c>
      <c r="B332" s="327" t="s">
        <v>1235</v>
      </c>
      <c r="C332" s="327" t="s">
        <v>1234</v>
      </c>
      <c r="D332" s="327" t="s">
        <v>1233</v>
      </c>
      <c r="E332" s="327" t="str">
        <f>tabIdiomas26[[#This Row],[Cadena]]</f>
        <v>Período de Recuperación do Investimento Excl. Subv. (Anos)</v>
      </c>
    </row>
    <row r="333" spans="1:5" x14ac:dyDescent="0.35">
      <c r="A333" s="327" t="s">
        <v>984</v>
      </c>
      <c r="B333" s="327" t="s">
        <v>1232</v>
      </c>
      <c r="C333" s="327" t="s">
        <v>1231</v>
      </c>
      <c r="D333" s="327" t="s">
        <v>1230</v>
      </c>
      <c r="E333" s="327" t="str">
        <f>tabIdiomas26[[#This Row],[Cadena]]</f>
        <v>Aportación de Capital Propio dos Socios</v>
      </c>
    </row>
    <row r="334" spans="1:5" x14ac:dyDescent="0.35">
      <c r="A334" s="327" t="s">
        <v>983</v>
      </c>
      <c r="B334" s="327" t="s">
        <v>1229</v>
      </c>
      <c r="C334" s="327" t="s">
        <v>1228</v>
      </c>
      <c r="D334" s="327" t="s">
        <v>983</v>
      </c>
      <c r="E334" s="327" t="str">
        <f>tabIdiomas26[[#This Row],[Cadena]]</f>
        <v>Subvención</v>
      </c>
    </row>
    <row r="335" spans="1:5" x14ac:dyDescent="0.35">
      <c r="A335" s="327" t="s">
        <v>982</v>
      </c>
      <c r="B335" s="327" t="s">
        <v>1227</v>
      </c>
      <c r="C335" s="327" t="s">
        <v>1226</v>
      </c>
      <c r="D335" s="327" t="s">
        <v>982</v>
      </c>
      <c r="E335" s="327" t="str">
        <f>tabIdiomas26[[#This Row],[Cadena]]</f>
        <v>Préstamo</v>
      </c>
    </row>
    <row r="336" spans="1:5" x14ac:dyDescent="0.35">
      <c r="A336" s="327" t="s">
        <v>981</v>
      </c>
      <c r="B336" s="10" t="s">
        <v>1225</v>
      </c>
      <c r="C336" s="327" t="s">
        <v>1224</v>
      </c>
      <c r="D336" s="327" t="s">
        <v>1223</v>
      </c>
      <c r="E336" s="327" t="str">
        <f>tabIdiomas26[[#This Row],[Cadena]]</f>
        <v>Total Recursos Financeiros (Propios e Alleos)</v>
      </c>
    </row>
    <row r="337" spans="1:5" ht="29" x14ac:dyDescent="0.35">
      <c r="A337" s="327" t="s">
        <v>980</v>
      </c>
      <c r="B337" s="327" t="s">
        <v>1222</v>
      </c>
      <c r="C337" s="327" t="s">
        <v>1221</v>
      </c>
      <c r="D337" s="327" t="s">
        <v>1220</v>
      </c>
      <c r="E337" s="327" t="str">
        <f>tabIdiomas26[[#This Row],[Cadena]]</f>
        <v>Desembolso Inicial (Incl. Renovación de Instalacións)</v>
      </c>
    </row>
    <row r="338" spans="1:5" x14ac:dyDescent="0.35">
      <c r="A338" s="327" t="s">
        <v>979</v>
      </c>
      <c r="B338" s="327" t="s">
        <v>1219</v>
      </c>
      <c r="C338" s="327" t="s">
        <v>1218</v>
      </c>
      <c r="D338" s="327" t="s">
        <v>1217</v>
      </c>
      <c r="E338" s="327" t="str">
        <f>tabIdiomas26[[#This Row],[Cadena]]</f>
        <v>Investimento</v>
      </c>
    </row>
    <row r="339" spans="1:5" x14ac:dyDescent="0.35">
      <c r="A339" s="327" t="s">
        <v>1214</v>
      </c>
      <c r="B339" s="327" t="s">
        <v>1216</v>
      </c>
      <c r="C339" s="327" t="s">
        <v>1215</v>
      </c>
      <c r="D339" s="327" t="s">
        <v>1214</v>
      </c>
      <c r="E339" s="327" t="str">
        <f>tabIdiomas26[[#This Row],[Cadena]]</f>
        <v>Para Necesidades Operativas:</v>
      </c>
    </row>
    <row r="340" spans="1:5" ht="58" x14ac:dyDescent="0.35">
      <c r="A340" s="327" t="s">
        <v>992</v>
      </c>
      <c r="B340" s="327" t="s">
        <v>1213</v>
      </c>
      <c r="C340" s="327" t="s">
        <v>1212</v>
      </c>
      <c r="D340" s="327" t="s">
        <v>1211</v>
      </c>
      <c r="E340" s="327" t="str">
        <f>tabIdiomas26[[#This Row],[Cadena]]</f>
        <v>Ter en conta se está a excluír ou non o valor da enerxía producida e transmitida gratuitamente aos socios para o seu autoconsumo ou compensación.</v>
      </c>
    </row>
    <row r="341" spans="1:5" x14ac:dyDescent="0.35">
      <c r="A341" s="327" t="s">
        <v>1025</v>
      </c>
      <c r="B341" s="327" t="s">
        <v>1210</v>
      </c>
      <c r="C341" s="327" t="s">
        <v>1209</v>
      </c>
      <c r="D341" s="327" t="s">
        <v>1208</v>
      </c>
      <c r="E341" s="327" t="str">
        <f>tabIdiomas26[[#This Row],[Cadena]]</f>
        <v>Total Proxecto</v>
      </c>
    </row>
    <row r="342" spans="1:5" x14ac:dyDescent="0.35">
      <c r="A342" s="327" t="s">
        <v>1207</v>
      </c>
      <c r="B342" s="327" t="s">
        <v>1206</v>
      </c>
      <c r="C342" s="327" t="s">
        <v>1205</v>
      </c>
      <c r="D342" s="327" t="s">
        <v>1204</v>
      </c>
      <c r="E342" s="327" t="str">
        <f>tabIdiomas26[[#This Row],[Cadena]]</f>
        <v>Conxunto dos 25 Anos</v>
      </c>
    </row>
    <row r="343" spans="1:5" ht="43.5" x14ac:dyDescent="0.35">
      <c r="A343" s="327" t="s">
        <v>989</v>
      </c>
      <c r="B343" s="327" t="s">
        <v>1203</v>
      </c>
      <c r="C343" s="327" t="s">
        <v>1202</v>
      </c>
      <c r="D343" s="327" t="s">
        <v>1201</v>
      </c>
      <c r="E343" s="327" t="str">
        <f>tabIdiomas26[[#This Row],[Cadena]]</f>
        <v>Inclusión do Valor da Enerxía Producida como Ingreso que Si Xera un Fluxo de Efectivo Pseudo-Monetario (Si/Non)</v>
      </c>
    </row>
  </sheetData>
  <printOptions horizontalCentered="1" headings="1"/>
  <pageMargins left="0.31496062992125984" right="0.31496062992125984" top="0.55118110236220474" bottom="0.55118110236220474" header="0.31496062992125984" footer="0.31496062992125984"/>
  <pageSetup paperSize="9" scale="47" fitToHeight="0" orientation="portrait" horizontalDpi="1200" verticalDpi="1200" r:id="rId1"/>
  <tableParts count="1">
    <tablePart r:id="rId2"/>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056D8-7B58-492E-ADA6-6CD11F0F0E16}">
  <sheetPr>
    <tabColor rgb="FFFFFF00"/>
  </sheetPr>
  <dimension ref="A1:AZ6"/>
  <sheetViews>
    <sheetView workbookViewId="0">
      <selection activeCell="D267" sqref="D267"/>
    </sheetView>
  </sheetViews>
  <sheetFormatPr baseColWidth="10" defaultColWidth="11.453125" defaultRowHeight="14.5" x14ac:dyDescent="0.35"/>
  <cols>
    <col min="1" max="1" width="20.81640625" bestFit="1" customWidth="1"/>
    <col min="2" max="2" width="20.1796875" bestFit="1" customWidth="1"/>
    <col min="3" max="3" width="20.81640625" bestFit="1" customWidth="1"/>
    <col min="4" max="4" width="20.1796875" bestFit="1" customWidth="1"/>
    <col min="12" max="12" width="20.1796875" bestFit="1" customWidth="1"/>
    <col min="14" max="14" width="20.1796875" bestFit="1" customWidth="1"/>
    <col min="15" max="15" width="26.1796875" bestFit="1" customWidth="1"/>
    <col min="16" max="16" width="20.1796875" bestFit="1" customWidth="1"/>
    <col min="18" max="18" width="20.1796875" bestFit="1" customWidth="1"/>
    <col min="19" max="19" width="24.81640625" customWidth="1"/>
    <col min="20" max="20" width="20.1796875" bestFit="1" customWidth="1"/>
    <col min="21" max="21" width="13.453125" customWidth="1"/>
    <col min="22" max="22" width="21.81640625" bestFit="1" customWidth="1"/>
    <col min="23" max="23" width="16.453125" customWidth="1"/>
    <col min="24" max="24" width="21.81640625" bestFit="1" customWidth="1"/>
    <col min="27" max="27" width="30.81640625" customWidth="1"/>
    <col min="28" max="28" width="7.81640625" customWidth="1"/>
    <col min="29" max="29" width="19.81640625" customWidth="1"/>
    <col min="30" max="30" width="24.1796875" customWidth="1"/>
    <col min="33" max="33" width="41.453125" customWidth="1"/>
    <col min="34" max="34" width="24.54296875" customWidth="1"/>
    <col min="35" max="35" width="17.1796875" customWidth="1"/>
    <col min="36" max="36" width="20.1796875" customWidth="1"/>
    <col min="38" max="38" width="20.81640625" customWidth="1"/>
    <col min="42" max="42" width="14.1796875" customWidth="1"/>
    <col min="47" max="47" width="26.1796875" customWidth="1"/>
    <col min="48" max="48" width="18.81640625" customWidth="1"/>
    <col min="49" max="49" width="25.81640625" customWidth="1"/>
    <col min="50" max="50" width="23.54296875" customWidth="1"/>
    <col min="51" max="51" width="10.81640625" customWidth="1"/>
    <col min="52" max="52" width="34.1796875" bestFit="1" customWidth="1"/>
  </cols>
  <sheetData>
    <row r="1" spans="1:52" s="10" customFormat="1" ht="43.5" x14ac:dyDescent="0.35">
      <c r="A1" s="10" t="s">
        <v>36</v>
      </c>
      <c r="B1" s="234"/>
      <c r="C1" s="10" t="s">
        <v>50</v>
      </c>
      <c r="D1" s="234"/>
      <c r="E1" s="10" t="s">
        <v>636</v>
      </c>
      <c r="F1" s="234"/>
      <c r="G1" s="10" t="s">
        <v>637</v>
      </c>
      <c r="H1" s="234"/>
      <c r="I1" s="10" t="s">
        <v>638</v>
      </c>
      <c r="J1" s="234"/>
      <c r="K1" s="10" t="s">
        <v>639</v>
      </c>
      <c r="M1" s="235" t="s">
        <v>640</v>
      </c>
      <c r="O1" s="235" t="s">
        <v>641</v>
      </c>
      <c r="Q1" s="235" t="s">
        <v>642</v>
      </c>
      <c r="S1" s="235" t="s">
        <v>643</v>
      </c>
      <c r="U1" s="235" t="s">
        <v>301</v>
      </c>
      <c r="W1" s="235" t="s">
        <v>644</v>
      </c>
      <c r="Y1" s="1831" t="s">
        <v>431</v>
      </c>
      <c r="Z1" s="1832"/>
      <c r="AA1" s="236" t="s">
        <v>645</v>
      </c>
      <c r="AC1" s="1833" t="s">
        <v>495</v>
      </c>
      <c r="AD1" s="1834"/>
      <c r="AE1" s="1827" t="s">
        <v>498</v>
      </c>
      <c r="AF1" s="1828"/>
      <c r="AG1" s="236" t="s">
        <v>646</v>
      </c>
      <c r="AI1" s="1827" t="s">
        <v>504</v>
      </c>
      <c r="AJ1" s="1828"/>
      <c r="AK1" s="1827" t="s">
        <v>507</v>
      </c>
      <c r="AL1" s="1828"/>
      <c r="AM1" s="1827" t="s">
        <v>510</v>
      </c>
      <c r="AN1" s="1828"/>
      <c r="AO1" s="1827" t="s">
        <v>513</v>
      </c>
      <c r="AP1" s="1828"/>
      <c r="AQ1" s="1827" t="s">
        <v>516</v>
      </c>
      <c r="AR1" s="1828"/>
      <c r="AS1" s="1829" t="s">
        <v>519</v>
      </c>
      <c r="AT1" s="1830"/>
      <c r="AU1" s="246" t="s">
        <v>647</v>
      </c>
      <c r="AW1" s="235" t="s">
        <v>625</v>
      </c>
      <c r="AY1" s="235" t="s">
        <v>614</v>
      </c>
    </row>
    <row r="2" spans="1:52" x14ac:dyDescent="0.35">
      <c r="A2" t="s">
        <v>648</v>
      </c>
      <c r="B2" t="s">
        <v>649</v>
      </c>
      <c r="C2" t="s">
        <v>648</v>
      </c>
      <c r="D2" t="s">
        <v>649</v>
      </c>
      <c r="E2" t="s">
        <v>648</v>
      </c>
      <c r="F2" t="s">
        <v>649</v>
      </c>
      <c r="G2" t="s">
        <v>648</v>
      </c>
      <c r="H2" t="s">
        <v>649</v>
      </c>
      <c r="I2" t="s">
        <v>648</v>
      </c>
      <c r="J2" t="s">
        <v>649</v>
      </c>
      <c r="K2" t="s">
        <v>648</v>
      </c>
      <c r="L2" t="s">
        <v>649</v>
      </c>
      <c r="M2" t="s">
        <v>648</v>
      </c>
      <c r="N2" t="s">
        <v>649</v>
      </c>
      <c r="O2" t="s">
        <v>648</v>
      </c>
      <c r="P2" t="s">
        <v>649</v>
      </c>
      <c r="Q2" t="s">
        <v>648</v>
      </c>
      <c r="R2" t="s">
        <v>649</v>
      </c>
      <c r="S2" t="s">
        <v>648</v>
      </c>
      <c r="T2" t="s">
        <v>649</v>
      </c>
      <c r="U2" t="s">
        <v>648</v>
      </c>
      <c r="V2" t="s">
        <v>649</v>
      </c>
      <c r="W2" t="s">
        <v>648</v>
      </c>
      <c r="X2" t="s">
        <v>649</v>
      </c>
      <c r="Y2" t="s">
        <v>648</v>
      </c>
      <c r="Z2" t="s">
        <v>649</v>
      </c>
      <c r="AA2" t="s">
        <v>648</v>
      </c>
      <c r="AB2" t="s">
        <v>649</v>
      </c>
      <c r="AC2" t="s">
        <v>648</v>
      </c>
      <c r="AD2" t="s">
        <v>649</v>
      </c>
      <c r="AE2" t="s">
        <v>648</v>
      </c>
      <c r="AF2" t="s">
        <v>649</v>
      </c>
      <c r="AG2" t="s">
        <v>648</v>
      </c>
      <c r="AH2" t="s">
        <v>649</v>
      </c>
      <c r="AI2" t="s">
        <v>648</v>
      </c>
      <c r="AJ2" t="s">
        <v>649</v>
      </c>
      <c r="AK2" t="s">
        <v>648</v>
      </c>
      <c r="AL2" t="s">
        <v>649</v>
      </c>
      <c r="AM2" t="s">
        <v>648</v>
      </c>
      <c r="AN2" t="s">
        <v>649</v>
      </c>
      <c r="AO2" t="s">
        <v>648</v>
      </c>
      <c r="AP2" t="s">
        <v>649</v>
      </c>
      <c r="AQ2" t="s">
        <v>648</v>
      </c>
      <c r="AR2" t="s">
        <v>649</v>
      </c>
      <c r="AS2" t="s">
        <v>648</v>
      </c>
      <c r="AT2" t="s">
        <v>649</v>
      </c>
      <c r="AU2" t="s">
        <v>648</v>
      </c>
      <c r="AV2" t="s">
        <v>649</v>
      </c>
      <c r="AW2" t="s">
        <v>648</v>
      </c>
      <c r="AX2" t="s">
        <v>649</v>
      </c>
      <c r="AY2" t="s">
        <v>648</v>
      </c>
      <c r="AZ2" t="s">
        <v>649</v>
      </c>
    </row>
    <row r="3" spans="1:52" x14ac:dyDescent="0.35">
      <c r="A3" t="s">
        <v>1</v>
      </c>
      <c r="B3" t="str">
        <f>VLOOKUP(tabRespPreg130[[#This Row],[Respuestas Pregunta]],tabIdiomas[#Data],MATCH('General Hipotheses (INTRO)'!$D$2,tabIdiomas[#Headers],0),FALSE)</f>
        <v>Galicia</v>
      </c>
      <c r="C3" t="s">
        <v>50</v>
      </c>
      <c r="D3" t="str">
        <f>VLOOKUP(tabRespPreg231[[#This Row],[Respuestas Pregunta]],tabIdiomas[#Data],MATCH('General Hipotheses (INTRO)'!$D$2,tabIdiomas[#Headers],0),FALSE)</f>
        <v>Province</v>
      </c>
      <c r="E3" t="s">
        <v>69</v>
      </c>
      <c r="F3" t="str">
        <f>VLOOKUP(tabRespPreg24_132[[#This Row],[Respuestas Pregunta]],tabIdiomas[#Data],MATCH('General Hipotheses (INTRO)'!$D$2,tabIdiomas[#Headers],0),FALSE)</f>
        <v>A Coruña</v>
      </c>
      <c r="G3" t="s">
        <v>103</v>
      </c>
      <c r="H3" t="str">
        <f>VLOOKUP(tabRespPreg1533[[#This Row],[Respuestas Pregunta]],tabIdiomas[#Data],MATCH('General Hipotheses (INTRO)'!$D$2,tabIdiomas[#Headers],0),FALSE)</f>
        <v>Yes</v>
      </c>
      <c r="I3" t="s">
        <v>103</v>
      </c>
      <c r="J3" t="str">
        <f>VLOOKUP(tabRespPreg15634[[#This Row],[Respuestas Pregunta]],tabIdiomas[#Data],MATCH('General Hipotheses (INTRO)'!$D$2,tabIdiomas[#Headers],0),FALSE)</f>
        <v>Yes</v>
      </c>
      <c r="K3" t="s">
        <v>165</v>
      </c>
      <c r="L3" t="str">
        <f>VLOOKUP(tabRespPreg156835[[#This Row],[Respuestas Pregunta]],tabIdiomas[#Data],MATCH('General Hipotheses (INTRO)'!$D$2,tabIdiomas[#Headers],0),FALSE)</f>
        <v>Fixed</v>
      </c>
      <c r="M3" t="s">
        <v>103</v>
      </c>
      <c r="N3" t="str">
        <f>VLOOKUP(tabRespPreg151036[[#This Row],[Respuestas Pregunta]],tabIdiomas[#Data],MATCH('General Hipotheses (INTRO)'!$D$2,tabIdiomas[#Headers],0),FALSE)</f>
        <v>Yes</v>
      </c>
      <c r="O3" t="s">
        <v>184</v>
      </c>
      <c r="P3" t="str">
        <f>VLOOKUP(tabRespPreg11237[[#This Row],[Respuestas Pregunta]],tabIdiomas[#Data],MATCH('General Hipotheses (INTRO)'!$D$2,tabIdiomas[#Headers],0),FALSE)</f>
        <v>Own Staff</v>
      </c>
      <c r="Q3" t="s">
        <v>103</v>
      </c>
      <c r="R3" t="str">
        <f>VLOOKUP(tabRespPreg15101338[[#This Row],[Respuestas Pregunta]],tabIdiomas[#Data],MATCH('General Hipotheses (INTRO)'!$D$2,tabIdiomas[#Headers],0),FALSE)</f>
        <v>Yes</v>
      </c>
      <c r="S3" t="s">
        <v>103</v>
      </c>
      <c r="T3" t="str">
        <f>VLOOKUP(tabRespPreg1510131439[[#This Row],[Respuestas Pregunta]],tabIdiomas[#Data],MATCH('General Hipotheses (INTRO)'!$D$2,tabIdiomas[#Headers],0),FALSE)</f>
        <v>Yes</v>
      </c>
      <c r="U3" t="s">
        <v>304</v>
      </c>
      <c r="V3" t="str">
        <f>VLOOKUP(tabRespPreg151013141540[[#This Row],[Respuestas Pregunta]],tabIdiomas[#Data],MATCH('General Hipotheses (INTRO)'!$D$2,tabIdiomas[#Headers],0),FALSE)</f>
        <v>Compensation</v>
      </c>
      <c r="W3" t="s">
        <v>103</v>
      </c>
      <c r="X3" t="str">
        <f>VLOOKUP(tabRespPreg151013141641[[#This Row],[Respuestas Pregunta]],tabIdiomas[#Data],MATCH('General Hipotheses (INTRO)'!$D$2,tabIdiomas[#Headers],0),FALSE)</f>
        <v>Yes</v>
      </c>
      <c r="Y3" t="s">
        <v>103</v>
      </c>
      <c r="Z3" t="str">
        <f>VLOOKUP(tabRespPreg1510131416942[[#This Row],[Respuestas Pregunta]],tabIdiomas[#Data],MATCH('General Hipotheses (INTRO)'!$D$2,tabIdiomas[#Headers],0),FALSE)</f>
        <v>Yes</v>
      </c>
      <c r="AA3" t="s">
        <v>103</v>
      </c>
      <c r="AB3" t="str">
        <f>VLOOKUP(tabRespPreg15101314161143[[#This Row],[Respuestas Pregunta]],tabIdiomas[#Data],MATCH('General Hipotheses (INTRO)'!$D$2,tabIdiomas[#Headers],0),FALSE)</f>
        <v>Yes</v>
      </c>
      <c r="AC3" t="s">
        <v>103</v>
      </c>
      <c r="AD3" t="str">
        <f>VLOOKUP(tabRespPreg1510131416111744[[#This Row],[Respuestas Pregunta]],tabIdiomas[#Data],MATCH('General Hipotheses (INTRO)'!$D$2,tabIdiomas[#Headers],0),FALSE)</f>
        <v>Yes</v>
      </c>
      <c r="AE3" t="s">
        <v>103</v>
      </c>
      <c r="AF3" t="str">
        <f>VLOOKUP(tabRespPreg151013141611171845[[#This Row],[Respuestas Pregunta]],tabIdiomas[#Data],MATCH('General Hipotheses (INTRO)'!$D$2,tabIdiomas[#Headers],0),FALSE)</f>
        <v>Yes</v>
      </c>
      <c r="AG3" t="s">
        <v>467</v>
      </c>
      <c r="AH3" t="str">
        <f>VLOOKUP(tabRespPreg15101314162046[[#This Row],[Respuestas Pregunta]],tabIdiomas[#Data],MATCH('General Hipotheses (INTRO)'!$D$2,tabIdiomas[#Headers],0),FALSE)</f>
        <v>Automatic (Only for Galicia)</v>
      </c>
      <c r="AI3" t="s">
        <v>103</v>
      </c>
      <c r="AJ3" t="str">
        <f>VLOOKUP(tabRespPreg15101314161117181947[[#This Row],[Respuestas Pregunta]],tabIdiomas[#Data],MATCH('General Hipotheses (INTRO)'!$D$2,tabIdiomas[#Headers],0),FALSE)</f>
        <v>Yes</v>
      </c>
      <c r="AK3" t="s">
        <v>103</v>
      </c>
      <c r="AL3" t="str">
        <f>VLOOKUP(tabRespPreg1510131416111718192148[[#This Row],[Respuestas Pregunta]],tabIdiomas[#Data],MATCH('General Hipotheses (INTRO)'!$D$2,tabIdiomas[#Headers],0),FALSE)</f>
        <v>Yes</v>
      </c>
      <c r="AM3" t="s">
        <v>103</v>
      </c>
      <c r="AN3" t="str">
        <f>VLOOKUP(tabRespPreg151013141611171819212249[[#This Row],[Respuestas Pregunta]],tabIdiomas[#Data],MATCH('General Hipotheses (INTRO)'!$D$2,tabIdiomas[#Headers],0),FALSE)</f>
        <v>Yes</v>
      </c>
      <c r="AO3" t="s">
        <v>103</v>
      </c>
      <c r="AP3" t="str">
        <f>VLOOKUP(tabRespPreg15101314161117181921222350[[#This Row],[Respuestas Pregunta]],tabIdiomas[#Data],MATCH('General Hipotheses (INTRO)'!$D$2,tabIdiomas[#Headers],0),FALSE)</f>
        <v>Yes</v>
      </c>
      <c r="AQ3" t="s">
        <v>103</v>
      </c>
      <c r="AR3" t="str">
        <f>VLOOKUP(tabRespPreg1510131416111718192122232451[[#This Row],[Respuestas Pregunta]],tabIdiomas[#Data],MATCH('General Hipotheses (INTRO)'!$D$2,tabIdiomas[#Headers],0),FALSE)</f>
        <v>Yes</v>
      </c>
      <c r="AS3" t="s">
        <v>103</v>
      </c>
      <c r="AT3" t="str">
        <f>VLOOKUP(tabRespPreg151013141611171819212223242552[[#This Row],[Respuestas Pregunta]],tabIdiomas[#Data],MATCH('General Hipotheses (INTRO)'!$D$2,tabIdiomas[#Headers],0),FALSE)</f>
        <v>Yes</v>
      </c>
      <c r="AU3" t="s">
        <v>538</v>
      </c>
      <c r="AV3" t="str">
        <f>VLOOKUP(tabRespPreg1122753[[#This Row],[Respuestas Pregunta]],tabIdiomas[#Data],MATCH('General Hipotheses (INTRO)'!$D$2,tabIdiomas[#Headers],0),FALSE)</f>
        <v>Right Check</v>
      </c>
      <c r="AW3" t="s">
        <v>103</v>
      </c>
      <c r="AX3" t="str">
        <f>VLOOKUP(tabRespPreg15101314161117181921222324252854[[#This Row],[Respuestas Pregunta]],tabIdiomas[#Data],MATCH('General Hipotheses (INTRO)'!$D$2,tabIdiomas[#Headers],0),FALSE)</f>
        <v>Yes</v>
      </c>
      <c r="AY3" t="s">
        <v>18</v>
      </c>
      <c r="AZ3" t="str">
        <f>VLOOKUP(tabRespPreg112272955[[#This Row],[Respuestas Pregunta]],tabIdiomas[#Data],MATCH('General Hipotheses (INTRO)'!$D$2,tabIdiomas[#Headers],0),FALSE)</f>
        <v>VAT (Ordinary Tax Rate)</v>
      </c>
    </row>
    <row r="4" spans="1:52" x14ac:dyDescent="0.35">
      <c r="A4" t="s">
        <v>40</v>
      </c>
      <c r="B4" t="str">
        <f>VLOOKUP(tabRespPreg130[[#This Row],[Respuestas Pregunta]],tabIdiomas[#Data],MATCH('General Hipotheses (INTRO)'!$D$2,tabIdiomas[#Headers],0),FALSE)</f>
        <v>Rest of Spain</v>
      </c>
      <c r="E4" t="s">
        <v>70</v>
      </c>
      <c r="F4" t="str">
        <f>VLOOKUP(tabRespPreg24_132[[#This Row],[Respuestas Pregunta]],tabIdiomas[#Data],MATCH('General Hipotheses (INTRO)'!$D$2,tabIdiomas[#Headers],0),FALSE)</f>
        <v>Lugo</v>
      </c>
      <c r="G4" t="s">
        <v>12</v>
      </c>
      <c r="H4" t="str">
        <f>VLOOKUP(tabRespPreg1533[[#This Row],[Respuestas Pregunta]],tabIdiomas[#Data],MATCH('General Hipotheses (INTRO)'!$D$2,tabIdiomas[#Headers],0),FALSE)</f>
        <v>No</v>
      </c>
      <c r="I4" t="s">
        <v>12</v>
      </c>
      <c r="J4" t="str">
        <f>VLOOKUP(tabRespPreg15634[[#This Row],[Respuestas Pregunta]],tabIdiomas[#Data],MATCH('General Hipotheses (INTRO)'!$D$2,tabIdiomas[#Headers],0),FALSE)</f>
        <v>No</v>
      </c>
      <c r="K4" t="s">
        <v>168</v>
      </c>
      <c r="L4" t="str">
        <f>VLOOKUP(tabRespPreg156835[[#This Row],[Respuestas Pregunta]],tabIdiomas[#Data],MATCH('General Hipotheses (INTRO)'!$D$2,tabIdiomas[#Headers],0),FALSE)</f>
        <v>Proportional</v>
      </c>
      <c r="M4" t="s">
        <v>12</v>
      </c>
      <c r="N4" t="str">
        <f>VLOOKUP(tabRespPreg151036[[#This Row],[Respuestas Pregunta]],tabIdiomas[#Data],MATCH('General Hipotheses (INTRO)'!$D$2,tabIdiomas[#Headers],0),FALSE)</f>
        <v>No</v>
      </c>
      <c r="O4" t="s">
        <v>188</v>
      </c>
      <c r="P4" t="str">
        <f>VLOOKUP(tabRespPreg11237[[#This Row],[Respuestas Pregunta]],tabIdiomas[#Data],MATCH('General Hipotheses (INTRO)'!$D$2,tabIdiomas[#Headers],0),FALSE)</f>
        <v>Outsourcing</v>
      </c>
      <c r="Q4" t="s">
        <v>12</v>
      </c>
      <c r="R4" t="str">
        <f>VLOOKUP(tabRespPreg15101338[[#This Row],[Respuestas Pregunta]],tabIdiomas[#Data],MATCH('General Hipotheses (INTRO)'!$D$2,tabIdiomas[#Headers],0),FALSE)</f>
        <v>No</v>
      </c>
      <c r="S4" t="s">
        <v>12</v>
      </c>
      <c r="T4" t="str">
        <f>VLOOKUP(tabRespPreg1510131439[[#This Row],[Respuestas Pregunta]],tabIdiomas[#Data],MATCH('General Hipotheses (INTRO)'!$D$2,tabIdiomas[#Headers],0),FALSE)</f>
        <v>No</v>
      </c>
      <c r="U4" t="s">
        <v>306</v>
      </c>
      <c r="V4" t="str">
        <f>VLOOKUP(tabRespPreg151013141540[[#This Row],[Respuestas Pregunta]],tabIdiomas[#Data],MATCH('General Hipotheses (INTRO)'!$D$2,tabIdiomas[#Headers],0),FALSE)</f>
        <v>Sale</v>
      </c>
      <c r="W4" t="s">
        <v>12</v>
      </c>
      <c r="X4" t="str">
        <f>VLOOKUP(tabRespPreg151013141641[[#This Row],[Respuestas Pregunta]],tabIdiomas[#Data],MATCH('General Hipotheses (INTRO)'!$D$2,tabIdiomas[#Headers],0),FALSE)</f>
        <v>No</v>
      </c>
      <c r="Y4" t="s">
        <v>12</v>
      </c>
      <c r="Z4" t="str">
        <f>VLOOKUP(tabRespPreg1510131416942[[#This Row],[Respuestas Pregunta]],tabIdiomas[#Data],MATCH('General Hipotheses (INTRO)'!$D$2,tabIdiomas[#Headers],0),FALSE)</f>
        <v>No</v>
      </c>
      <c r="AA4" t="s">
        <v>12</v>
      </c>
      <c r="AB4" t="str">
        <f>VLOOKUP(tabRespPreg15101314161143[[#This Row],[Respuestas Pregunta]],tabIdiomas[#Data],MATCH('General Hipotheses (INTRO)'!$D$2,tabIdiomas[#Headers],0),FALSE)</f>
        <v>No</v>
      </c>
      <c r="AC4" t="s">
        <v>12</v>
      </c>
      <c r="AD4" t="str">
        <f>VLOOKUP(tabRespPreg1510131416111744[[#This Row],[Respuestas Pregunta]],tabIdiomas[#Data],MATCH('General Hipotheses (INTRO)'!$D$2,tabIdiomas[#Headers],0),FALSE)</f>
        <v>No</v>
      </c>
      <c r="AE4" t="s">
        <v>12</v>
      </c>
      <c r="AF4" t="str">
        <f>VLOOKUP(tabRespPreg151013141611171845[[#This Row],[Respuestas Pregunta]],tabIdiomas[#Data],MATCH('General Hipotheses (INTRO)'!$D$2,tabIdiomas[#Headers],0),FALSE)</f>
        <v>No</v>
      </c>
      <c r="AG4" t="s">
        <v>9</v>
      </c>
      <c r="AH4" t="str">
        <f>VLOOKUP(tabRespPreg15101314162046[[#This Row],[Respuestas Pregunta]],tabIdiomas[#Data],MATCH('General Hipotheses (INTRO)'!$D$2,tabIdiomas[#Headers],0),FALSE)</f>
        <v>Manual</v>
      </c>
      <c r="AI4" t="s">
        <v>12</v>
      </c>
      <c r="AJ4" t="str">
        <f>VLOOKUP(tabRespPreg15101314161117181947[[#This Row],[Respuestas Pregunta]],tabIdiomas[#Data],MATCH('General Hipotheses (INTRO)'!$D$2,tabIdiomas[#Headers],0),FALSE)</f>
        <v>No</v>
      </c>
      <c r="AK4" t="s">
        <v>12</v>
      </c>
      <c r="AL4" t="str">
        <f>VLOOKUP(tabRespPreg1510131416111718192148[[#This Row],[Respuestas Pregunta]],tabIdiomas[#Data],MATCH('General Hipotheses (INTRO)'!$D$2,tabIdiomas[#Headers],0),FALSE)</f>
        <v>No</v>
      </c>
      <c r="AM4" t="s">
        <v>12</v>
      </c>
      <c r="AN4" t="str">
        <f>VLOOKUP(tabRespPreg151013141611171819212249[[#This Row],[Respuestas Pregunta]],tabIdiomas[#Data],MATCH('General Hipotheses (INTRO)'!$D$2,tabIdiomas[#Headers],0),FALSE)</f>
        <v>No</v>
      </c>
      <c r="AO4" t="s">
        <v>12</v>
      </c>
      <c r="AP4" t="str">
        <f>VLOOKUP(tabRespPreg15101314161117181921222350[[#This Row],[Respuestas Pregunta]],tabIdiomas[#Data],MATCH('General Hipotheses (INTRO)'!$D$2,tabIdiomas[#Headers],0),FALSE)</f>
        <v>No</v>
      </c>
      <c r="AQ4" t="s">
        <v>12</v>
      </c>
      <c r="AR4" t="str">
        <f>VLOOKUP(tabRespPreg1510131416111718192122232451[[#This Row],[Respuestas Pregunta]],tabIdiomas[#Data],MATCH('General Hipotheses (INTRO)'!$D$2,tabIdiomas[#Headers],0),FALSE)</f>
        <v>No</v>
      </c>
      <c r="AS4" t="s">
        <v>12</v>
      </c>
      <c r="AT4" t="str">
        <f>VLOOKUP(tabRespPreg151013141611171819212223242552[[#This Row],[Respuestas Pregunta]],tabIdiomas[#Data],MATCH('General Hipotheses (INTRO)'!$D$2,tabIdiomas[#Headers],0),FALSE)</f>
        <v>No</v>
      </c>
      <c r="AU4" t="s">
        <v>541</v>
      </c>
      <c r="AV4" t="str">
        <f>VLOOKUP(tabRespPreg1122753[[#This Row],[Respuestas Pregunta]],tabIdiomas[#Data],MATCH('General Hipotheses (INTRO)'!$D$2,tabIdiomas[#Headers],0),FALSE)</f>
        <v>Not Applicable Check</v>
      </c>
      <c r="AW4" t="s">
        <v>12</v>
      </c>
      <c r="AX4" t="str">
        <f>VLOOKUP(tabRespPreg15101314161117181921222324252854[[#This Row],[Respuestas Pregunta]],tabIdiomas[#Data],MATCH('General Hipotheses (INTRO)'!$D$2,tabIdiomas[#Headers],0),FALSE)</f>
        <v>No</v>
      </c>
      <c r="AY4" t="s">
        <v>19</v>
      </c>
      <c r="AZ4" t="str">
        <f>VLOOKUP(tabRespPreg112272955[[#This Row],[Respuestas Pregunta]],tabIdiomas[#Data],MATCH('General Hipotheses (INTRO)'!$D$2,tabIdiomas[#Headers],0),FALSE)</f>
        <v>VAT (Reduced Electricity Tax Rate)</v>
      </c>
    </row>
    <row r="5" spans="1:52" x14ac:dyDescent="0.35">
      <c r="A5" t="s">
        <v>42</v>
      </c>
      <c r="B5" t="str">
        <f>VLOOKUP(tabRespPreg130[[#This Row],[Respuestas Pregunta]],tabIdiomas[#Data],MATCH('General Hipotheses (INTRO)'!$D$2,tabIdiomas[#Headers],0),FALSE)</f>
        <v>Other Countries</v>
      </c>
      <c r="E5" t="s">
        <v>71</v>
      </c>
      <c r="F5" t="str">
        <f>VLOOKUP(tabRespPreg24_132[[#This Row],[Respuestas Pregunta]],tabIdiomas[#Data],MATCH('General Hipotheses (INTRO)'!$D$2,tabIdiomas[#Headers],0),FALSE)</f>
        <v>Ourense</v>
      </c>
      <c r="O5" t="s">
        <v>182</v>
      </c>
      <c r="P5" t="str">
        <f>VLOOKUP(tabRespPreg11237[[#This Row],[Respuestas Pregunta]],tabIdiomas[#Data],MATCH('General Hipotheses (INTRO)'!$D$2,tabIdiomas[#Headers],0),FALSE)</f>
        <v>Self-Management</v>
      </c>
      <c r="AU5" t="s">
        <v>545</v>
      </c>
      <c r="AV5" t="str">
        <f>VLOOKUP(tabRespPreg1122753[[#This Row],[Respuestas Pregunta]],tabIdiomas[#Data],MATCH('General Hipotheses (INTRO)'!$D$2,tabIdiomas[#Headers],0),FALSE)</f>
        <v>Wrong Check</v>
      </c>
      <c r="AY5" t="s">
        <v>20</v>
      </c>
      <c r="AZ5" t="str">
        <f>VLOOKUP(tabRespPreg112272955[[#This Row],[Respuestas Pregunta]],tabIdiomas[#Data],MATCH('General Hipotheses (INTRO)'!$D$2,tabIdiomas[#Headers],0),FALSE)</f>
        <v>VAT (Extra-Reduced Electricity Tax Rate)</v>
      </c>
    </row>
    <row r="6" spans="1:52" x14ac:dyDescent="0.35">
      <c r="E6" t="s">
        <v>3</v>
      </c>
      <c r="F6" t="str">
        <f>VLOOKUP(tabRespPreg24_132[[#This Row],[Respuestas Pregunta]],tabIdiomas[#Data],MATCH('General Hipotheses (INTRO)'!$D$2,tabIdiomas[#Headers],0),FALSE)</f>
        <v>Pontevedra</v>
      </c>
    </row>
  </sheetData>
  <mergeCells count="9">
    <mergeCell ref="AO1:AP1"/>
    <mergeCell ref="AQ1:AR1"/>
    <mergeCell ref="AS1:AT1"/>
    <mergeCell ref="Y1:Z1"/>
    <mergeCell ref="AC1:AD1"/>
    <mergeCell ref="AE1:AF1"/>
    <mergeCell ref="AI1:AJ1"/>
    <mergeCell ref="AK1:AL1"/>
    <mergeCell ref="AM1:AN1"/>
  </mergeCells>
  <pageMargins left="0.7" right="0.7" top="0.75" bottom="0.75" header="0.3" footer="0.3"/>
  <tableParts count="26">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68594-ADF5-4771-910C-FF170AC00145}">
  <sheetPr>
    <tabColor rgb="FFFFFF00"/>
  </sheetPr>
  <dimension ref="A1:A5"/>
  <sheetViews>
    <sheetView workbookViewId="0">
      <selection activeCell="D267" sqref="D267"/>
    </sheetView>
  </sheetViews>
  <sheetFormatPr baseColWidth="10" defaultColWidth="11.453125" defaultRowHeight="14.5" x14ac:dyDescent="0.35"/>
  <sheetData>
    <row r="1" spans="1:1" x14ac:dyDescent="0.35">
      <c r="A1" s="231" t="s">
        <v>650</v>
      </c>
    </row>
    <row r="2" spans="1:1" x14ac:dyDescent="0.35">
      <c r="A2" t="str" cm="1">
        <f t="array" ref="A2:A5">_xlfn._xlws.FILTER(TRANSPOSE(_xlfn.UNIQUE(Idiomas!1:1)),(TRANSPOSE(_xlfn.UNIQUE(Idiomas!1:1))&lt;&gt;"")*(TRANSPOSE(_xlfn.UNIQUE(Idiomas!1:1))&lt;&gt;"Cadena"))</f>
        <v>Eestlane</v>
      </c>
    </row>
    <row r="3" spans="1:1" x14ac:dyDescent="0.35">
      <c r="A3" t="str">
        <v>English</v>
      </c>
    </row>
    <row r="4" spans="1:1" x14ac:dyDescent="0.35">
      <c r="A4" t="str">
        <v>Español</v>
      </c>
    </row>
    <row r="5" spans="1:1" x14ac:dyDescent="0.35">
      <c r="A5" t="str">
        <v>Galego</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BF00F87-14D3-4DBD-9C96-13C2E6A661E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48</vt:i4>
      </vt:variant>
      <vt:variant>
        <vt:lpstr>Rangos con nombre</vt:lpstr>
      </vt:variant>
      <vt:variant>
        <vt:i4>39</vt:i4>
      </vt:variant>
    </vt:vector>
  </HeadingPairs>
  <TitlesOfParts>
    <vt:vector size="87" baseType="lpstr">
      <vt:lpstr>General Hipotheses (INTRO)</vt:lpstr>
      <vt:lpstr>Hipóteses Xerais</vt:lpstr>
      <vt:lpstr>Expenses Hipotheses (INTRO)</vt:lpstr>
      <vt:lpstr>Hipóteses Gastos</vt:lpstr>
      <vt:lpstr>Electric Invoice Costs (INTRO)</vt:lpstr>
      <vt:lpstr>Hip. Custos Factura Eléctrica</vt:lpstr>
      <vt:lpstr>Idiomas</vt:lpstr>
      <vt:lpstr>Cuestións e Respostas</vt:lpstr>
      <vt:lpstr>Maestros</vt:lpstr>
      <vt:lpstr>Hipóteses --&gt;</vt:lpstr>
      <vt:lpstr>Hipóteses xerais (2)</vt:lpstr>
      <vt:lpstr>Est. Consumo Electr.</vt:lpstr>
      <vt:lpstr>Hipóteses 2</vt:lpstr>
      <vt:lpstr>x Financiamento</vt:lpstr>
      <vt:lpstr>Estados financeiros --&gt;</vt:lpstr>
      <vt:lpstr>Conta explotación</vt:lpstr>
      <vt:lpstr>Estim. Gastos</vt:lpstr>
      <vt:lpstr>Estim. Ingresos</vt:lpstr>
      <vt:lpstr>Fluxo de caixa</vt:lpstr>
      <vt:lpstr>Fluxo de Caixa Neto Socio</vt:lpstr>
      <vt:lpstr>Datos CE e Socios</vt:lpstr>
      <vt:lpstr>Conta Conxunto de Socios</vt:lpstr>
      <vt:lpstr>Conta Individ. Socio</vt:lpstr>
      <vt:lpstr>Datos Custos Factura Eléctrica</vt:lpstr>
      <vt:lpstr>Simulac. Factura Indiv. Sen CE</vt:lpstr>
      <vt:lpstr>Simulac. Factura Indiv. Con CE</vt:lpstr>
      <vt:lpstr>Comparación Fras. Indiv.</vt:lpstr>
      <vt:lpstr>Datos Socios</vt:lpstr>
      <vt:lpstr>Factura Socios Sen CE</vt:lpstr>
      <vt:lpstr>Factura Socios Con CE</vt:lpstr>
      <vt:lpstr>Factura Socios Consumo Mínimo</vt:lpstr>
      <vt:lpstr>Ingresos Socios</vt:lpstr>
      <vt:lpstr>Resultado Socios</vt:lpstr>
      <vt:lpstr>Datos Socios (2)</vt:lpstr>
      <vt:lpstr>Factura Socios Sen CE (2)</vt:lpstr>
      <vt:lpstr>Factura Socios Con CE (2)</vt:lpstr>
      <vt:lpstr>Ingresos Socios (2)</vt:lpstr>
      <vt:lpstr>Resultado Socios (2)</vt:lpstr>
      <vt:lpstr>Operating Account</vt:lpstr>
      <vt:lpstr>Cash Flow Statement</vt:lpstr>
      <vt:lpstr>Fluxo de Caixa Neto Socio (2)</vt:lpstr>
      <vt:lpstr>All Partners Accounts</vt:lpstr>
      <vt:lpstr>Individual Partner Account</vt:lpstr>
      <vt:lpstr>Indiv. Invoices Comparison</vt:lpstr>
      <vt:lpstr>Partner Acc. Heterogeneous P. </vt:lpstr>
      <vt:lpstr>Idiomas (2)</vt:lpstr>
      <vt:lpstr>Cuestións e Respostas (2)</vt:lpstr>
      <vt:lpstr>Maestros (2)</vt:lpstr>
      <vt:lpstr>'Cash Flow Statement'!Área_de_impresión</vt:lpstr>
      <vt:lpstr>'Conta explotación'!Área_de_impresión</vt:lpstr>
      <vt:lpstr>'Estados financeiros --&gt;'!Área_de_impresión</vt:lpstr>
      <vt:lpstr>'Fluxo de caixa'!Área_de_impresión</vt:lpstr>
      <vt:lpstr>'General Hipotheses (INTRO)'!Área_de_impresión</vt:lpstr>
      <vt:lpstr>'Hipóteses --&gt;'!Área_de_impresión</vt:lpstr>
      <vt:lpstr>'Hipóteses 2'!Área_de_impresión</vt:lpstr>
      <vt:lpstr>'Hipóteses Xerais'!Área_de_impresión</vt:lpstr>
      <vt:lpstr>'Hipóteses xerais (2)'!Área_de_impresión</vt:lpstr>
      <vt:lpstr>'Operating Account'!Área_de_impresión</vt:lpstr>
      <vt:lpstr>'x Financiamento'!Área_de_impresión</vt:lpstr>
      <vt:lpstr>'Cuestións e Respostas (2)'!ListadoIdiomas</vt:lpstr>
      <vt:lpstr>'Idiomas (2)'!ListadoIdiomas</vt:lpstr>
      <vt:lpstr>'Maestros (2)'!ListadoIdiomas</vt:lpstr>
      <vt:lpstr>ListadoIdiomas</vt:lpstr>
      <vt:lpstr>ListadoIdiomas1</vt:lpstr>
      <vt:lpstr>ListadoIdiomasR</vt:lpstr>
      <vt:lpstr>'Cuestións e Respostas (2)'!RespPreg1</vt:lpstr>
      <vt:lpstr>'Hip. Custos Factura Eléctrica'!RespPreg1</vt:lpstr>
      <vt:lpstr>'Hipóteses Gastos'!RespPreg1</vt:lpstr>
      <vt:lpstr>'Hipóteses Xerais'!RespPreg1</vt:lpstr>
      <vt:lpstr>'Idiomas (2)'!RespPreg1</vt:lpstr>
      <vt:lpstr>'Maestros (2)'!RespPreg1</vt:lpstr>
      <vt:lpstr>RespPreg1</vt:lpstr>
      <vt:lpstr>RespPreg1R</vt:lpstr>
      <vt:lpstr>RespPreg1R2</vt:lpstr>
      <vt:lpstr>'Cuestións e Respostas (2)'!tabRespPreg3</vt:lpstr>
      <vt:lpstr>'Hip. Custos Factura Eléctrica'!tabRespPreg3</vt:lpstr>
      <vt:lpstr>'Hipóteses Gastos'!tabRespPreg3</vt:lpstr>
      <vt:lpstr>'Hipóteses Xerais'!tabRespPreg3</vt:lpstr>
      <vt:lpstr>'Idiomas (2)'!tabRespPreg3</vt:lpstr>
      <vt:lpstr>'Maestros (2)'!tabRespPreg3</vt:lpstr>
      <vt:lpstr>tabRespPreg3</vt:lpstr>
      <vt:lpstr>tabRespPreg3R</vt:lpstr>
      <vt:lpstr>tabRespPreg3R2</vt:lpstr>
      <vt:lpstr>'Cash Flow Statement'!Títulos_a_imprimir</vt:lpstr>
      <vt:lpstr>'Conta explotación'!Títulos_a_imprimir</vt:lpstr>
      <vt:lpstr>'Fluxo de caixa'!Títulos_a_imprimir</vt:lpstr>
      <vt:lpstr>'Operating Account'!Títulos_a_imprimir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José Manuel Heredia</dc:creator>
  <cp:keywords/>
  <dc:description/>
  <cp:lastModifiedBy>José Manuel Heredia Conde</cp:lastModifiedBy>
  <cp:revision/>
  <cp:lastPrinted>2024-09-19T12:33:22Z</cp:lastPrinted>
  <dcterms:created xsi:type="dcterms:W3CDTF">2015-06-05T18:19:34Z</dcterms:created>
  <dcterms:modified xsi:type="dcterms:W3CDTF">2024-09-27T15:35:54Z</dcterms:modified>
  <cp:category/>
  <cp:contentStatus/>
</cp:coreProperties>
</file>